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workbookProtection workbookPassword="CEB5" lockStructure="1"/>
  <bookViews>
    <workbookView xWindow="0" yWindow="705" windowWidth="28800" windowHeight="16200"/>
  </bookViews>
  <sheets>
    <sheet name="Form 2a-Planning" sheetId="15" r:id="rId1"/>
    <sheet name="Webster MS" sheetId="17" r:id="rId2"/>
    <sheet name="DATA Fields" sheetId="10" state="hidden" r:id="rId3"/>
  </sheets>
  <externalReferences>
    <externalReference r:id="rId4"/>
  </externalReferences>
  <definedNames>
    <definedName name="_xlnm._FilterDatabase" localSheetId="1" hidden="1">'Webster MS'!$A$7:$AC$97</definedName>
    <definedName name="_xlnm.Print_Area" localSheetId="0">'Form 2a-Planning'!$A$2:$F$18</definedName>
    <definedName name="_xlnm.Print_Area" localSheetId="1">'Webster MS'!$A$1:$AC$114</definedName>
    <definedName name="_xlnm.Print_Titles" localSheetId="0">'Form 2a-Planning'!$2:$5</definedName>
    <definedName name="_xlnm.Print_Titles" localSheetId="1">'Webster MS'!$7:$7</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U8" i="17" l="1"/>
  <c r="AC96" i="17" l="1"/>
  <c r="Y78" i="17"/>
  <c r="AC65" i="17"/>
  <c r="Y65" i="17"/>
  <c r="AC63" i="17"/>
  <c r="Y63" i="17"/>
  <c r="AC62" i="17"/>
  <c r="Y62" i="17"/>
  <c r="AC52" i="17"/>
  <c r="Y52" i="17"/>
  <c r="Y49" i="17"/>
  <c r="AC48" i="17"/>
  <c r="Y48" i="17"/>
  <c r="AC47" i="17"/>
  <c r="Y47" i="17"/>
  <c r="AC84" i="17"/>
  <c r="AC112" i="17"/>
  <c r="Y112" i="17"/>
  <c r="U84" i="17"/>
  <c r="AC19" i="17"/>
  <c r="AC51" i="17" s="1"/>
  <c r="Y19" i="17"/>
  <c r="Y51" i="17" s="1"/>
  <c r="U19" i="17"/>
  <c r="U51" i="17" s="1"/>
  <c r="U15" i="17"/>
  <c r="U16" i="17"/>
  <c r="AC16" i="17"/>
  <c r="AC50" i="17" s="1"/>
  <c r="Y16" i="17"/>
  <c r="Y50" i="17" s="1"/>
  <c r="U17" i="17"/>
  <c r="U18" i="17"/>
  <c r="AC15" i="17"/>
  <c r="AC49" i="17" s="1"/>
  <c r="Y15" i="17"/>
  <c r="U47" i="17" l="1"/>
  <c r="U48" i="17"/>
  <c r="AC56" i="17"/>
  <c r="Y56" i="17"/>
  <c r="U56" i="17"/>
  <c r="AC55" i="17"/>
  <c r="Y55" i="17"/>
  <c r="U55" i="17"/>
  <c r="U68" i="17" l="1"/>
  <c r="U42" i="17"/>
  <c r="U45" i="17"/>
  <c r="U44" i="17"/>
  <c r="U43" i="17"/>
  <c r="U34" i="17" l="1"/>
  <c r="U33" i="17"/>
  <c r="U32" i="17"/>
  <c r="U31" i="17"/>
  <c r="U35" i="17" s="1"/>
  <c r="U46" i="17"/>
  <c r="E88" i="17"/>
  <c r="F88" i="17"/>
  <c r="G88" i="17"/>
  <c r="I88" i="17"/>
  <c r="J88" i="17"/>
  <c r="K88" i="17"/>
  <c r="Q88" i="17"/>
  <c r="R88" i="17"/>
  <c r="S88" i="17"/>
  <c r="W88" i="17"/>
  <c r="X88" i="17"/>
  <c r="AA88" i="17"/>
  <c r="D88" i="17"/>
  <c r="E69" i="17"/>
  <c r="G69" i="17"/>
  <c r="I69" i="17"/>
  <c r="J69" i="17"/>
  <c r="Q69" i="17"/>
  <c r="R69" i="17"/>
  <c r="W69" i="17"/>
  <c r="AA69" i="17"/>
  <c r="D69" i="17"/>
  <c r="E46" i="17"/>
  <c r="F46" i="17"/>
  <c r="G46" i="17"/>
  <c r="I46" i="17"/>
  <c r="J46" i="17"/>
  <c r="K46" i="17"/>
  <c r="L46" i="17"/>
  <c r="M46" i="17"/>
  <c r="Q46" i="17"/>
  <c r="R46" i="17"/>
  <c r="S46" i="17"/>
  <c r="T46" i="17"/>
  <c r="W46" i="17"/>
  <c r="X46" i="17"/>
  <c r="Y46" i="17"/>
  <c r="AA46" i="17"/>
  <c r="AB46" i="17"/>
  <c r="AC46" i="17"/>
  <c r="D46" i="17"/>
  <c r="AC35" i="17"/>
  <c r="AA35" i="17"/>
  <c r="Y35" i="17"/>
  <c r="W35" i="17"/>
  <c r="R35" i="17"/>
  <c r="Q35" i="17"/>
  <c r="J35" i="17"/>
  <c r="I35" i="17"/>
  <c r="G35" i="17"/>
  <c r="D35" i="17"/>
  <c r="AC86" i="17" l="1"/>
  <c r="AC88" i="17" s="1"/>
  <c r="Y86" i="17"/>
  <c r="Y88" i="17" s="1"/>
  <c r="U86" i="17"/>
  <c r="U74" i="17"/>
  <c r="U88" i="17" s="1"/>
  <c r="U112" i="17"/>
  <c r="AC67" i="17" l="1"/>
  <c r="Y67" i="17"/>
  <c r="U67" i="17"/>
  <c r="AC66" i="17"/>
  <c r="Y66" i="17"/>
  <c r="U66" i="17"/>
  <c r="Y61" i="17"/>
  <c r="AC61" i="17"/>
  <c r="U61" i="17"/>
  <c r="U60" i="17"/>
  <c r="AC59" i="17"/>
  <c r="Y59" i="17"/>
  <c r="U59" i="17"/>
  <c r="AC58" i="17"/>
  <c r="Y58" i="17"/>
  <c r="U58" i="17"/>
  <c r="AC57" i="17"/>
  <c r="Y57" i="17"/>
  <c r="U57" i="17"/>
  <c r="AC54" i="17"/>
  <c r="Y54" i="17"/>
  <c r="U54" i="17"/>
  <c r="AB104" i="17"/>
  <c r="AB100" i="17"/>
  <c r="AB96" i="17"/>
  <c r="AB97" i="17" s="1"/>
  <c r="AB84" i="17"/>
  <c r="AB88" i="17" s="1"/>
  <c r="AB65" i="17"/>
  <c r="AB63" i="17"/>
  <c r="AB62" i="17"/>
  <c r="AB51" i="17"/>
  <c r="AB50" i="17"/>
  <c r="AB21" i="17"/>
  <c r="AB52" i="17" s="1"/>
  <c r="AB15" i="17"/>
  <c r="AB49" i="17" s="1"/>
  <c r="AB12" i="17"/>
  <c r="AB48" i="17" s="1"/>
  <c r="AB8" i="17"/>
  <c r="Y100" i="17"/>
  <c r="Y97" i="17"/>
  <c r="U65" i="17"/>
  <c r="U64" i="17"/>
  <c r="U63" i="17"/>
  <c r="U62" i="17"/>
  <c r="U52" i="17"/>
  <c r="U50" i="17"/>
  <c r="U49" i="17"/>
  <c r="U104" i="17"/>
  <c r="U100" i="17"/>
  <c r="U96" i="17"/>
  <c r="U97" i="17" s="1"/>
  <c r="AB47" i="17" l="1"/>
  <c r="AB35" i="17"/>
  <c r="AB69" i="17"/>
  <c r="AB102" i="17" s="1"/>
  <c r="AB105" i="17" s="1"/>
  <c r="U69" i="17"/>
  <c r="U102" i="17" s="1"/>
  <c r="U105" i="17" s="1"/>
  <c r="U107" i="17" s="1"/>
  <c r="Y69" i="17"/>
  <c r="O19" i="17"/>
  <c r="O62" i="17"/>
  <c r="Y102" i="17" l="1"/>
  <c r="AB107" i="17"/>
  <c r="AB6" i="17"/>
  <c r="U6" i="17"/>
  <c r="O94" i="17"/>
  <c r="O96" i="17"/>
  <c r="O97" i="17" s="1"/>
  <c r="O109" i="17"/>
  <c r="O104" i="17"/>
  <c r="O100" i="17"/>
  <c r="O86" i="17"/>
  <c r="O85" i="17"/>
  <c r="O84" i="17"/>
  <c r="O81" i="17"/>
  <c r="O78" i="17"/>
  <c r="O74" i="17"/>
  <c r="O64" i="17"/>
  <c r="O63" i="17"/>
  <c r="O61" i="17"/>
  <c r="O58" i="17"/>
  <c r="O57" i="17"/>
  <c r="O55" i="17"/>
  <c r="O52" i="17"/>
  <c r="O36" i="17"/>
  <c r="O46" i="17" s="1"/>
  <c r="O27" i="17"/>
  <c r="O26" i="17"/>
  <c r="O24" i="17"/>
  <c r="O18" i="17"/>
  <c r="O50" i="17" s="1"/>
  <c r="O17" i="17"/>
  <c r="O16" i="17"/>
  <c r="O15" i="17"/>
  <c r="O49" i="17" s="1"/>
  <c r="O12" i="17"/>
  <c r="O48" i="17" s="1"/>
  <c r="O8" i="17"/>
  <c r="O47" i="17" l="1"/>
  <c r="O35" i="17"/>
  <c r="O88" i="17"/>
  <c r="Y103" i="17"/>
  <c r="Y104" i="17" s="1"/>
  <c r="Y105" i="17" s="1"/>
  <c r="Y107" i="17" s="1"/>
  <c r="O69" i="17"/>
  <c r="O102" i="17" s="1"/>
  <c r="O105" i="17" s="1"/>
  <c r="M15" i="17"/>
  <c r="N86" i="17"/>
  <c r="S96" i="17"/>
  <c r="S97" i="17" s="1"/>
  <c r="N19" i="17"/>
  <c r="N12" i="17"/>
  <c r="N8" i="17"/>
  <c r="N47" i="17" s="1"/>
  <c r="N78" i="17"/>
  <c r="N85" i="17"/>
  <c r="N74" i="17"/>
  <c r="N36" i="17"/>
  <c r="N46" i="17" s="1"/>
  <c r="N48" i="17"/>
  <c r="T74" i="17"/>
  <c r="T88" i="17" s="1"/>
  <c r="T86" i="17"/>
  <c r="T59" i="17"/>
  <c r="T28" i="17"/>
  <c r="T58" i="17"/>
  <c r="T27" i="17"/>
  <c r="T57" i="17"/>
  <c r="T26" i="17"/>
  <c r="T16" i="17"/>
  <c r="T50" i="17" s="1"/>
  <c r="T69" i="17" s="1"/>
  <c r="N15" i="17"/>
  <c r="N55" i="17"/>
  <c r="N24" i="17"/>
  <c r="N61" i="17"/>
  <c r="N81" i="17"/>
  <c r="T19" i="17"/>
  <c r="T51" i="17" s="1"/>
  <c r="N18" i="17"/>
  <c r="N50" i="17" s="1"/>
  <c r="N17" i="17"/>
  <c r="N16" i="17"/>
  <c r="N84" i="17"/>
  <c r="N64" i="17"/>
  <c r="T104" i="17"/>
  <c r="T100" i="17"/>
  <c r="T96" i="17"/>
  <c r="T97" i="17" s="1"/>
  <c r="T15" i="17"/>
  <c r="T12" i="17"/>
  <c r="N104" i="17"/>
  <c r="N100" i="17"/>
  <c r="N97" i="17"/>
  <c r="N65" i="17"/>
  <c r="N63" i="17"/>
  <c r="N58" i="17"/>
  <c r="N57" i="17"/>
  <c r="N52" i="17"/>
  <c r="N27" i="17"/>
  <c r="N26" i="17"/>
  <c r="N51" i="17"/>
  <c r="N49" i="17"/>
  <c r="M75" i="17"/>
  <c r="M74" i="17"/>
  <c r="M88" i="17" s="1"/>
  <c r="M109" i="17"/>
  <c r="M104" i="17"/>
  <c r="M100" i="17"/>
  <c r="M97" i="17"/>
  <c r="M96" i="17"/>
  <c r="M85" i="17"/>
  <c r="M84" i="17"/>
  <c r="M65" i="17"/>
  <c r="M63" i="17"/>
  <c r="M62" i="17"/>
  <c r="M58" i="17"/>
  <c r="M57" i="17"/>
  <c r="M52" i="17"/>
  <c r="M50" i="17"/>
  <c r="M48" i="17"/>
  <c r="M27" i="17"/>
  <c r="M26" i="17"/>
  <c r="M19" i="17"/>
  <c r="M51" i="17"/>
  <c r="M49" i="17"/>
  <c r="M8" i="17"/>
  <c r="M47" i="17" s="1"/>
  <c r="L84" i="17"/>
  <c r="L85" i="17"/>
  <c r="L74" i="17"/>
  <c r="L88" i="17" s="1"/>
  <c r="L59" i="17"/>
  <c r="L58" i="17"/>
  <c r="L57" i="17"/>
  <c r="L50" i="17"/>
  <c r="L8" i="17"/>
  <c r="L47" i="17"/>
  <c r="L65" i="17"/>
  <c r="L63" i="17"/>
  <c r="L62" i="17"/>
  <c r="L52" i="17"/>
  <c r="L48" i="17"/>
  <c r="L19" i="17"/>
  <c r="L51" i="17" s="1"/>
  <c r="L26" i="17"/>
  <c r="L28" i="17"/>
  <c r="L27" i="17"/>
  <c r="L109" i="17"/>
  <c r="L104" i="17"/>
  <c r="L100" i="17"/>
  <c r="L96" i="17"/>
  <c r="L97" i="17" s="1"/>
  <c r="L15" i="17"/>
  <c r="L49" i="17"/>
  <c r="G104" i="17"/>
  <c r="G100" i="17"/>
  <c r="G89" i="17"/>
  <c r="G97" i="17"/>
  <c r="AC97" i="17"/>
  <c r="X96" i="17"/>
  <c r="X97" i="17"/>
  <c r="S8" i="17"/>
  <c r="S35" i="17" s="1"/>
  <c r="X8" i="17"/>
  <c r="X47" i="17"/>
  <c r="X21" i="17"/>
  <c r="X52" i="17" s="1"/>
  <c r="S21" i="17"/>
  <c r="S52" i="17"/>
  <c r="X15" i="17"/>
  <c r="X49" i="17"/>
  <c r="S15" i="17"/>
  <c r="S49" i="17"/>
  <c r="X12" i="17"/>
  <c r="X48" i="17" s="1"/>
  <c r="S12" i="17"/>
  <c r="S48" i="17" s="1"/>
  <c r="K15" i="17"/>
  <c r="K49" i="17"/>
  <c r="K12" i="17"/>
  <c r="K35" i="17" s="1"/>
  <c r="K48" i="17"/>
  <c r="F12" i="17"/>
  <c r="F48" i="17"/>
  <c r="F89" i="17"/>
  <c r="F97" i="17" s="1"/>
  <c r="F8" i="17"/>
  <c r="F47" i="17"/>
  <c r="F96" i="17"/>
  <c r="AC100" i="17"/>
  <c r="X50" i="17"/>
  <c r="X51" i="17"/>
  <c r="X62" i="17"/>
  <c r="X63" i="17"/>
  <c r="X65" i="17"/>
  <c r="X100" i="17"/>
  <c r="X104" i="17"/>
  <c r="S65" i="17"/>
  <c r="S63" i="17"/>
  <c r="S62" i="17"/>
  <c r="S51" i="17"/>
  <c r="S50" i="17"/>
  <c r="K65" i="17"/>
  <c r="K63" i="17"/>
  <c r="K62" i="17"/>
  <c r="K52" i="17"/>
  <c r="K51" i="17"/>
  <c r="K50" i="17"/>
  <c r="K47" i="17"/>
  <c r="F100" i="17"/>
  <c r="S100" i="17"/>
  <c r="K100" i="17"/>
  <c r="K96" i="17"/>
  <c r="K97" i="17"/>
  <c r="F104" i="17"/>
  <c r="S104" i="17"/>
  <c r="K104" i="17"/>
  <c r="R100" i="17"/>
  <c r="R96" i="17"/>
  <c r="R97" i="17"/>
  <c r="R102" i="17" s="1"/>
  <c r="J100" i="17"/>
  <c r="J96" i="17"/>
  <c r="J97" i="17"/>
  <c r="J102" i="17" s="1"/>
  <c r="J103" i="17" s="1"/>
  <c r="J104" i="17" s="1"/>
  <c r="E12" i="17"/>
  <c r="E35" i="17" s="1"/>
  <c r="E100" i="17"/>
  <c r="E96" i="17"/>
  <c r="E97" i="17"/>
  <c r="AA100" i="17"/>
  <c r="W100" i="17"/>
  <c r="Q100" i="17"/>
  <c r="I100" i="17"/>
  <c r="D100" i="17"/>
  <c r="AA96" i="17"/>
  <c r="AA97" i="17"/>
  <c r="W96" i="17"/>
  <c r="W97" i="17"/>
  <c r="W102" i="17" s="1"/>
  <c r="W103" i="17" s="1"/>
  <c r="W104" i="17" s="1"/>
  <c r="Q96" i="17"/>
  <c r="Q97" i="17"/>
  <c r="I96" i="17"/>
  <c r="I97" i="17" s="1"/>
  <c r="I102" i="17" s="1"/>
  <c r="I103" i="17" s="1"/>
  <c r="I104" i="17" s="1"/>
  <c r="D96" i="17"/>
  <c r="D97" i="17"/>
  <c r="X35" i="17" l="1"/>
  <c r="N88" i="17"/>
  <c r="S47" i="17"/>
  <c r="T35" i="17"/>
  <c r="N35" i="17"/>
  <c r="F35" i="17"/>
  <c r="L35" i="17"/>
  <c r="M35" i="17"/>
  <c r="Y6" i="17"/>
  <c r="AC69" i="17"/>
  <c r="AC102" i="17" s="1"/>
  <c r="S69" i="17"/>
  <c r="S102" i="17" s="1"/>
  <c r="S105" i="17" s="1"/>
  <c r="S107" i="17" s="1"/>
  <c r="F69" i="17"/>
  <c r="X69" i="17"/>
  <c r="X102" i="17" s="1"/>
  <c r="X105" i="17" s="1"/>
  <c r="X6" i="17" s="1"/>
  <c r="L69" i="17"/>
  <c r="K69" i="17"/>
  <c r="K102" i="17" s="1"/>
  <c r="K105" i="17" s="1"/>
  <c r="K6" i="17" s="1"/>
  <c r="M69" i="17"/>
  <c r="M102" i="17" s="1"/>
  <c r="M105" i="17" s="1"/>
  <c r="M111" i="17" s="1"/>
  <c r="N69" i="17"/>
  <c r="O6" i="17"/>
  <c r="O111" i="17"/>
  <c r="T102" i="17"/>
  <c r="T105" i="17" s="1"/>
  <c r="T107" i="17" s="1"/>
  <c r="Q102" i="17"/>
  <c r="Q103" i="17" s="1"/>
  <c r="Q104" i="17" s="1"/>
  <c r="AA102" i="17"/>
  <c r="AA103" i="17" s="1"/>
  <c r="AA104" i="17" s="1"/>
  <c r="AA105" i="17" s="1"/>
  <c r="AA6" i="17" s="1"/>
  <c r="R103" i="17"/>
  <c r="R104" i="17" s="1"/>
  <c r="R105" i="17" s="1"/>
  <c r="R6" i="17" s="1"/>
  <c r="W105" i="17"/>
  <c r="W6" i="17" s="1"/>
  <c r="I105" i="17"/>
  <c r="I6" i="17" s="1"/>
  <c r="J105" i="17"/>
  <c r="J6" i="17" s="1"/>
  <c r="L102" i="17" l="1"/>
  <c r="L105" i="17" s="1"/>
  <c r="L111" i="17" s="1"/>
  <c r="N102" i="17"/>
  <c r="N105" i="17" s="1"/>
  <c r="N6" i="17" s="1"/>
  <c r="AC103" i="17"/>
  <c r="AC104" i="17" s="1"/>
  <c r="AC105" i="17" s="1"/>
  <c r="S6" i="17"/>
  <c r="M6" i="17"/>
  <c r="Q105" i="17"/>
  <c r="Q6" i="17" s="1"/>
  <c r="T6" i="17"/>
  <c r="F102" i="17"/>
  <c r="F105" i="17" s="1"/>
  <c r="G102" i="17"/>
  <c r="G105" i="17" s="1"/>
  <c r="E102" i="17"/>
  <c r="L6" i="17" l="1"/>
  <c r="AC6" i="17"/>
  <c r="AC107" i="17"/>
  <c r="F107" i="17"/>
  <c r="F6" i="17"/>
  <c r="G107" i="17"/>
  <c r="G6" i="17"/>
  <c r="E103" i="17"/>
  <c r="E104" i="17" s="1"/>
  <c r="E105" i="17" s="1"/>
  <c r="E6" i="17" s="1"/>
  <c r="D102" i="17"/>
  <c r="D103" i="17" l="1"/>
  <c r="D104" i="17" s="1"/>
  <c r="D105" i="17" s="1"/>
  <c r="D6" i="17" s="1"/>
</calcChain>
</file>

<file path=xl/comments1.xml><?xml version="1.0" encoding="utf-8"?>
<comments xmlns="http://schemas.openxmlformats.org/spreadsheetml/2006/main">
  <authors>
    <author>LAUSD</author>
  </authors>
  <commentList>
    <comment ref="B40" authorId="0">
      <text>
        <r>
          <rPr>
            <sz val="10"/>
            <color indexed="81"/>
            <rFont val="Tahoma"/>
            <family val="2"/>
          </rPr>
          <t xml:space="preserve">Michael Walker
</t>
        </r>
      </text>
    </comment>
    <comment ref="B41" authorId="0">
      <text>
        <r>
          <rPr>
            <sz val="10"/>
            <color indexed="81"/>
            <rFont val="Tahoma"/>
            <family val="2"/>
          </rPr>
          <t>year 3: Debbie Valverde</t>
        </r>
      </text>
    </comment>
  </commentList>
</comments>
</file>

<file path=xl/sharedStrings.xml><?xml version="1.0" encoding="utf-8"?>
<sst xmlns="http://schemas.openxmlformats.org/spreadsheetml/2006/main" count="305" uniqueCount="193">
  <si>
    <t>LEA Name: Los Angeles Unified School District</t>
  </si>
  <si>
    <t>School Name: Daniel Webster Middle School</t>
  </si>
  <si>
    <t xml:space="preserve"> Actions and Activities</t>
  </si>
  <si>
    <t>Start and End Dates MM/YYYY</t>
  </si>
  <si>
    <t xml:space="preserve">Description of how those activities will lead to successful implementation of the selected intervention </t>
  </si>
  <si>
    <t>Preparation for Accountability Measures</t>
  </si>
  <si>
    <t>11/2016 to 06/2017</t>
  </si>
  <si>
    <t>Rigorous Review of External Providers</t>
  </si>
  <si>
    <t>Family and Community Engagement</t>
  </si>
  <si>
    <t>11/2016 to 04/2017</t>
  </si>
  <si>
    <t>11/2016 to 05/2017</t>
  </si>
  <si>
    <t>Review and Finalize Implementation</t>
  </si>
  <si>
    <t>Instructional Program</t>
  </si>
  <si>
    <t>11//2016 to 05/2017</t>
  </si>
  <si>
    <t>01/2017 to 03/2017</t>
  </si>
  <si>
    <t>Staffing</t>
  </si>
  <si>
    <t>01/2017 to 06/2017</t>
  </si>
  <si>
    <t>Professional Development</t>
  </si>
  <si>
    <t>CA Dept of Education April 2016</t>
  </si>
  <si>
    <r>
      <rPr>
        <b/>
        <sz val="14"/>
        <rFont val="Arial"/>
        <family val="2"/>
      </rPr>
      <t>School Improvement Grant</t>
    </r>
    <r>
      <rPr>
        <sz val="14"/>
        <rFont val="Arial"/>
        <family val="2"/>
      </rPr>
      <t xml:space="preserve">
Cohort 4</t>
    </r>
  </si>
  <si>
    <t>* When developing the budget, the LEA should only request up to 10 percent of its total proposed award for planning activities.</t>
  </si>
  <si>
    <t>Daniel Webster Middle School</t>
  </si>
  <si>
    <t xml:space="preserve">School Budget </t>
  </si>
  <si>
    <t xml:space="preserve">Proposed Total Budget Amount (Enter Data) </t>
  </si>
  <si>
    <t>Model Component Number</t>
  </si>
  <si>
    <t>Activity Description</t>
  </si>
  <si>
    <t>Object Codes</t>
  </si>
  <si>
    <t>FY 2016-17 Budget</t>
  </si>
  <si>
    <t>FY 2016-17
Budget Revision</t>
  </si>
  <si>
    <t>FY 2017-18 Budget</t>
  </si>
  <si>
    <t>FY 2017-18
Budget Revisions</t>
  </si>
  <si>
    <t>FY 2018-19 Budget</t>
  </si>
  <si>
    <t>FY 2018-19
Budget Revisions</t>
  </si>
  <si>
    <t>FY 2019-20 Budget</t>
  </si>
  <si>
    <t>FY 2019-20
Budget Revisions</t>
  </si>
  <si>
    <t>FY 2020-21 Budget</t>
  </si>
  <si>
    <t>RS 04
TF 05
TF 10</t>
  </si>
  <si>
    <t>RS 04
TF 05
TF 08</t>
  </si>
  <si>
    <t>RS 04
TF 09</t>
  </si>
  <si>
    <t>RS 04
TF 05</t>
  </si>
  <si>
    <t>RS 04
TF 08
TA 09</t>
  </si>
  <si>
    <r>
      <rPr>
        <b/>
        <sz val="12"/>
        <rFont val="Arial"/>
        <family val="2"/>
      </rPr>
      <t>FTE 1.0 Pupil and Services Attendance (PSA) Counselo</t>
    </r>
    <r>
      <rPr>
        <sz val="12"/>
        <rFont val="Arial"/>
        <family val="2"/>
      </rPr>
      <t>r will assist in increasing student attendance, reducing truancies and developing a school wide attendance incentive plan.</t>
    </r>
  </si>
  <si>
    <r>
      <rPr>
        <b/>
        <sz val="12"/>
        <rFont val="Arial"/>
        <family val="2"/>
      </rPr>
      <t>FTE 0.60 School Psychologist</t>
    </r>
    <r>
      <rPr>
        <sz val="12"/>
        <rFont val="Arial"/>
        <family val="2"/>
      </rPr>
      <t xml:space="preserve"> (3 days per week)  to lead COST team planning, lead crisis response, support student counseling needs, provide suicide risk assessments, academic at risk assessments, and lead restorative justice practices with students circles.</t>
    </r>
  </si>
  <si>
    <t>RS 04
TF 07
TF 08</t>
  </si>
  <si>
    <r>
      <rPr>
        <b/>
        <sz val="12"/>
        <rFont val="Arial"/>
        <family val="2"/>
      </rPr>
      <t>FTE 1.0 Enrichment Teacher (Music Elective)</t>
    </r>
    <r>
      <rPr>
        <sz val="12"/>
        <rFont val="Arial"/>
        <family val="2"/>
      </rPr>
      <t xml:space="preserve"> to provide enrichment and an opportunity to learn the language of music as well as develop public engagement skills of performing.</t>
    </r>
  </si>
  <si>
    <r>
      <rPr>
        <b/>
        <sz val="12"/>
        <rFont val="Arial"/>
        <family val="2"/>
      </rPr>
      <t>FTE 1.0 Enrichment Teacher (Computer Science)</t>
    </r>
    <r>
      <rPr>
        <sz val="12"/>
        <rFont val="Arial"/>
        <family val="2"/>
      </rPr>
      <t xml:space="preserve"> to provide enrichment elective to students interested in learning how to code. Students will learn computer science and prepare for AP computer science course work in high school.</t>
    </r>
  </si>
  <si>
    <r>
      <rPr>
        <b/>
        <sz val="12"/>
        <rFont val="Arial"/>
        <family val="2"/>
      </rPr>
      <t>FTE 1.0 Enrichment Teacher (Engineering and Robotics Elective)</t>
    </r>
    <r>
      <rPr>
        <sz val="12"/>
        <rFont val="Arial"/>
        <family val="2"/>
      </rPr>
      <t xml:space="preserve"> will provide instruction in design thinking, engineering, and robotics.</t>
    </r>
  </si>
  <si>
    <t>RS 04
TF 08</t>
  </si>
  <si>
    <r>
      <rPr>
        <b/>
        <sz val="12"/>
        <rFont val="Arial"/>
        <family val="2"/>
      </rPr>
      <t>FTE 0.50 College and Career Coach (1/2 Time)</t>
    </r>
    <r>
      <rPr>
        <sz val="12"/>
        <rFont val="Arial"/>
        <family val="2"/>
      </rPr>
      <t xml:space="preserve"> to provide PD to teachers on instructional technology, support and coach teachers around student literacy needs, and coordinate college and career awareness activities with students and parents.</t>
    </r>
  </si>
  <si>
    <t>1000 Series Totals</t>
  </si>
  <si>
    <t>1000-1999</t>
  </si>
  <si>
    <t>RS 04
TF 05
TF 09</t>
  </si>
  <si>
    <t>RS 04
TF 10</t>
  </si>
  <si>
    <r>
      <rPr>
        <b/>
        <sz val="12"/>
        <rFont val="Arial"/>
        <family val="2"/>
      </rPr>
      <t xml:space="preserve">Community Representative </t>
    </r>
    <r>
      <rPr>
        <sz val="12"/>
        <rFont val="Arial"/>
        <family val="2"/>
      </rPr>
      <t>to support parent and community engagement by providing workshops and information related to school activities. Will develop parent center that will support parent learning and engagement with the school community. Will perform community outreach and articulation events with feeder elementary school as well as work with high school to bring information to parents regarding educational pathway options in high school.</t>
    </r>
  </si>
  <si>
    <r>
      <rPr>
        <b/>
        <sz val="12"/>
        <rFont val="Arial"/>
        <family val="2"/>
      </rPr>
      <t>FTE 1.0 Education Aide III (Spanish)</t>
    </r>
    <r>
      <rPr>
        <sz val="12"/>
        <rFont val="Arial"/>
        <family val="2"/>
      </rPr>
      <t xml:space="preserve"> to provide support to English Learners in the classroom through reinforcement and support of instruction under the direction of a teacher.  Functions to include but not limited to small group instruction support, one-on-one reinforcement, EL student support, EL student one-on-one assistance when needed, track EL student progress, and collaborate with teacher when planning.</t>
    </r>
  </si>
  <si>
    <t>2000 Series Totals</t>
  </si>
  <si>
    <t>2000-2999</t>
  </si>
  <si>
    <t>Teacher X Time Benefits</t>
  </si>
  <si>
    <t>3000-3999</t>
  </si>
  <si>
    <t>Tutor Teacher X Time for Saturday and After School Benefits</t>
  </si>
  <si>
    <t>Summer School and Summer Bridge Program Benefits</t>
  </si>
  <si>
    <t>Administrator X Benefits</t>
  </si>
  <si>
    <t>Math and ELA Auxiliary Benefits</t>
  </si>
  <si>
    <t>Day to Day Subs Benefits</t>
  </si>
  <si>
    <t>Pupil and Services Attendance Counselor Benefits</t>
  </si>
  <si>
    <t>School Psychologist Benefits</t>
  </si>
  <si>
    <t>Secondary Teacher (Music Elective) Benefits</t>
  </si>
  <si>
    <t>Secondary Teacher (Computer Coding Elective) Benefits</t>
  </si>
  <si>
    <t>Secondary Teacher (Engineering and Robotics Elective) Benefits</t>
  </si>
  <si>
    <t>College and Career Coach Benefits</t>
  </si>
  <si>
    <t>Clerical Overtime Benefits</t>
  </si>
  <si>
    <t>Custodial Overtime Benefits</t>
  </si>
  <si>
    <t>Community Representative Benefits</t>
  </si>
  <si>
    <t xml:space="preserve"> </t>
  </si>
  <si>
    <t>Education Aide III Benefits</t>
  </si>
  <si>
    <t>3000 Series Totals</t>
  </si>
  <si>
    <r>
      <rPr>
        <b/>
        <sz val="12"/>
        <rFont val="Arial"/>
        <family val="2"/>
      </rPr>
      <t>Achieve 3000</t>
    </r>
    <r>
      <rPr>
        <sz val="12"/>
        <rFont val="Arial"/>
        <family val="2"/>
      </rPr>
      <t xml:space="preserve"> to provide online, targeted and differentiated intervention to students performing below grade level in ELA and literacy assessments.</t>
    </r>
  </si>
  <si>
    <r>
      <rPr>
        <b/>
        <sz val="12"/>
        <rFont val="Arial"/>
        <family val="2"/>
      </rPr>
      <t>Materials</t>
    </r>
    <r>
      <rPr>
        <sz val="12"/>
        <rFont val="Arial"/>
        <family val="2"/>
      </rPr>
      <t xml:space="preserve"> for parent meetings, flyers, and newsletters during the planning year.</t>
    </r>
  </si>
  <si>
    <t>RS 04
TF 05
TF 07</t>
  </si>
  <si>
    <t>RS 04
TF 07</t>
  </si>
  <si>
    <r>
      <rPr>
        <b/>
        <sz val="12"/>
        <rFont val="Arial"/>
        <family val="2"/>
      </rPr>
      <t>Chorus and General Music Instructional Materials</t>
    </r>
    <r>
      <rPr>
        <sz val="12"/>
        <rFont val="Arial"/>
        <family val="2"/>
      </rPr>
      <t xml:space="preserve"> that include risers, sheet music, and music technology programs. Alfred Theory Essentials 100 x $30 = $3,000</t>
    </r>
  </si>
  <si>
    <t>4000 Series Totals</t>
  </si>
  <si>
    <t>4000-4999</t>
  </si>
  <si>
    <t>RS 03</t>
  </si>
  <si>
    <r>
      <rPr>
        <b/>
        <sz val="12"/>
        <rFont val="Arial"/>
        <family val="2"/>
      </rPr>
      <t>Educational Management Organization (EMO)</t>
    </r>
    <r>
      <rPr>
        <sz val="12"/>
        <rFont val="Arial"/>
        <family val="2"/>
      </rPr>
      <t xml:space="preserve"> - EMO will provide support to school's instructional program and work with community members to increase student achievement.</t>
    </r>
  </si>
  <si>
    <t>RS 04
TA 09</t>
  </si>
  <si>
    <r>
      <rPr>
        <b/>
        <sz val="12"/>
        <rFont val="Arial"/>
        <family val="2"/>
      </rPr>
      <t>Communities in Schools</t>
    </r>
    <r>
      <rPr>
        <sz val="12"/>
        <rFont val="Arial"/>
        <family val="2"/>
      </rPr>
      <t xml:space="preserve"> - this partner organization will support students social emotional growth by providing targeted counseling, outreach to families, connections to community resources, and will support our overall school attendance plan</t>
    </r>
  </si>
  <si>
    <r>
      <rPr>
        <b/>
        <sz val="12"/>
        <rFont val="Arial"/>
        <family val="2"/>
      </rPr>
      <t>STEAM Education Training</t>
    </r>
    <r>
      <rPr>
        <sz val="12"/>
        <rFont val="Arial"/>
        <family val="2"/>
      </rPr>
      <t xml:space="preserve"> to all teachers during the summer. Teachers will learn how to implement STEAM principles of collaboration, problem solving , critical thinking, and creativity in their classrooms.</t>
    </r>
  </si>
  <si>
    <r>
      <rPr>
        <b/>
        <sz val="12"/>
        <rFont val="Arial"/>
        <family val="2"/>
      </rPr>
      <t>Buck Institute of Education (BIE)</t>
    </r>
    <r>
      <rPr>
        <sz val="12"/>
        <rFont val="Arial"/>
        <family val="2"/>
      </rPr>
      <t xml:space="preserve"> training on Project-Based Learning.</t>
    </r>
  </si>
  <si>
    <t>5000 Series Totals</t>
  </si>
  <si>
    <t>5000-5999</t>
  </si>
  <si>
    <t>6000 Series Totals</t>
  </si>
  <si>
    <t>6000-6999</t>
  </si>
  <si>
    <t>1000 - 6000 Budget Subtotals</t>
  </si>
  <si>
    <t>Indirect Rate</t>
  </si>
  <si>
    <t>7000 Series Totals</t>
  </si>
  <si>
    <t>7310/7350</t>
  </si>
  <si>
    <t>Totals</t>
  </si>
  <si>
    <t>Planning</t>
  </si>
  <si>
    <t>Full Implementation</t>
  </si>
  <si>
    <t>Sustainability</t>
  </si>
  <si>
    <t>SIG School Coordinator</t>
  </si>
  <si>
    <t>RS04
TF 07
TF 09
TF 05
TF 10</t>
  </si>
  <si>
    <t>RS 04
TF 08
TF 09
TF 10</t>
  </si>
  <si>
    <r>
      <rPr>
        <b/>
        <strike/>
        <sz val="12"/>
        <rFont val="Arial"/>
        <family val="2"/>
      </rPr>
      <t>Day to day subs</t>
    </r>
    <r>
      <rPr>
        <strike/>
        <sz val="12"/>
        <rFont val="Arial"/>
        <family val="2"/>
      </rPr>
      <t xml:space="preserve"> to allow teachers to observe instruction and provide feedback to colleagues during planning year.
5 days x $209/day = $1,045</t>
    </r>
    <r>
      <rPr>
        <sz val="12"/>
        <rFont val="Arial"/>
        <family val="2"/>
      </rPr>
      <t xml:space="preserve">
Day to day subs to allow teachers to observe instruction and provide feedback to colleagues during years 2-5.
20 days x $209/day = $4,180</t>
    </r>
  </si>
  <si>
    <r>
      <t xml:space="preserve">FTE 1.0 SIG School Coordinator
</t>
    </r>
    <r>
      <rPr>
        <sz val="12"/>
        <rFont val="Arial"/>
        <family val="2"/>
      </rPr>
      <t>The SIG Coordinator will manage technical aspects and compliance of the SIG grant and its implementation, monitor data and progress towards plan goals, provide classroom observation and feedback to teachers, coordinate intervention programs and engage parents in understanding how to support their child’s academic success, and provide professional development to teachers.</t>
    </r>
  </si>
  <si>
    <r>
      <t>SIG Form 2a</t>
    </r>
    <r>
      <rPr>
        <b/>
        <sz val="12"/>
        <rFont val="Calibri"/>
        <family val="2"/>
      </rPr>
      <t>—</t>
    </r>
    <r>
      <rPr>
        <b/>
        <sz val="12"/>
        <rFont val="Arial"/>
        <family val="2"/>
      </rPr>
      <t>Planning and Other Pre-implementation Activities For a Tier I or Tier II School</t>
    </r>
  </si>
  <si>
    <r>
      <t xml:space="preserve">Continue to conduct comprehensive school needs assessment for the purpose of fine tuning instructional programs, professional development, and selected school improvement strategies. Baseline data will be collected regarding current instructional practices, effectiveness, and student achievement that will inform decisions going into the first SIG implementation year, to establish achievable growth targets, and to help measure progress towards those goals.
• Conduct a Spring School Review that involves reviewing student achievement data, culture and climate data, and classroom observation notes.
</t>
    </r>
    <r>
      <rPr>
        <sz val="12"/>
        <color rgb="FFFF0000"/>
        <rFont val="Arial"/>
        <family val="2"/>
      </rPr>
      <t>In progress</t>
    </r>
  </si>
  <si>
    <t>Date: May 26, 2017</t>
  </si>
  <si>
    <r>
      <t xml:space="preserve">During the planning year, Webster stakeholders (staff, parents, students) will be interviewing and considering various EMO's who have been approved by the District for the purpose of selecting a partner who will best meet the unique needs of our students and faculty. A SIG Development, Implementation, and Review Committee will be established for this purpose as well as to review and finalize implantation decisions. The rigorous process of recruiting, screening and selecting partners will be conducted according to the following criteria:
• Demonstrated track record of student achievement and capacity to design and manage a high-quality school.
• Business qualifications: years as a nonprofit EMO; track record and experience with public school turnaround and transformation; depth and extent of local presence; relationships with community groups.
• Personnel qualifications: background and professional qualifications of EMO staff.
• Financial viability of organization.
• Experience implementing instructional strategies; performance on prior school transformation efforts.
The process of engaging all stakeholder in a rigorous recruiting, screening, and selection of a partner, will help ensure that fidelity in the implementation of our plan is successfully achieved.
The Webster SIG Committee will be established by November 2016 and meet at least monthly through May 15, 2017.
</t>
    </r>
    <r>
      <rPr>
        <sz val="12"/>
        <color rgb="FFFF0000"/>
        <rFont val="Arial"/>
        <family val="2"/>
      </rPr>
      <t>Completed</t>
    </r>
  </si>
  <si>
    <r>
      <t xml:space="preserve">Review school performance, discuss and determine the school intervention model to be implemented, and develop school improvement plans in line with the intervention model focus during SIG Committee Meetings, Coffee with The Principal meetings, and Parent Nights.
• SIG Committee Meetings – At least monthly starting November 2016.
• Coffee with the Principal Meetings – The last Tuesday of each month.
• Parent Nights (Back to School, Parent Conference Nights, Open House, Town Hall Meetings) – Two to three meetings per semester (Fall/Spring)
</t>
    </r>
    <r>
      <rPr>
        <sz val="12"/>
        <color rgb="FFFF0000"/>
        <rFont val="Arial"/>
        <family val="2"/>
      </rPr>
      <t>Completed</t>
    </r>
  </si>
  <si>
    <r>
      <t xml:space="preserve">Will communicate with parents and the school community regarding school status, Improvement plans, and choice options, through newsletters, parent outreach, phone calls, school website, and articulation meetings.
• Newsletters – Monthly
• Website – On-going
• Direct Parent Outreach – On-going conducted by Parent and Community Representative during morning meetings in the parent center and parent involvement recruitment communications (direct phone calls, recruitment at school events, and solicitation via interest information gathered on the school website)
• Articulation meetings – Various dates starting in November 2016 through April 2017
</t>
    </r>
    <r>
      <rPr>
        <sz val="12"/>
        <color rgb="FFFF0000"/>
        <rFont val="Arial"/>
        <family val="2"/>
      </rPr>
      <t>In progress</t>
    </r>
  </si>
  <si>
    <r>
      <t xml:space="preserve">School staff will develop and administer survey of parents, students, and staff regarding perceptions, attitudes, and perspective as part of a continued effort for stakeholder input on the school implementation plan. Data gathered will be used as part of the Spring School Review to fine tune selection of programs, instructional strategies, and will directly support the development for the successful implementation of the SIG plan.
</t>
    </r>
    <r>
      <rPr>
        <sz val="12"/>
        <color rgb="FFFF0000"/>
        <rFont val="Arial"/>
        <family val="2"/>
      </rPr>
      <t>Completed</t>
    </r>
  </si>
  <si>
    <r>
      <t xml:space="preserve">The SIG Committee, made up of parents and staff, will work to research and identify instructional materials that are research-based and aligned with State academic standards, and have data based evidence of raising student achievement for the purpose of use during the implementation phase of our school improvement program.
• SIG Committee meets at least once monthly starting November 2016
Paid time will be provided to staff for instructional planning, examination of student data, development of a curriculum that is aligned to state standards, creation of common assessments and is vertically aligned from one grade level to another. Staff will collaborate within and across disciplines.
</t>
    </r>
    <r>
      <rPr>
        <sz val="12"/>
        <color rgb="FFFF0000"/>
        <rFont val="Arial"/>
        <family val="2"/>
      </rPr>
      <t>In progress</t>
    </r>
  </si>
  <si>
    <r>
      <t xml:space="preserve">Professional reading will be researched and selected for staff to engage in a book study group after the regular work day. Teachers will learn about researched based, effective pedagogical practices that will inform their instructional and curriculum planning as it relates to the school improvement plan.
• Staff to meet for 5 weeks on a day to be determined to engage in book study activities.
• Staff to conduct personal reading for 60 minutes a week as it relates to the book study and activities.
• Book study will begin January 2017 and end in March 2017.
</t>
    </r>
    <r>
      <rPr>
        <sz val="12"/>
        <color rgb="FFFF0000"/>
        <rFont val="Arial"/>
        <family val="2"/>
      </rPr>
      <t>Completed</t>
    </r>
  </si>
  <si>
    <r>
      <t xml:space="preserve">LAUSD maintains an aggressive and far-reaching teacher and administrator recruitment plan.  Site administrators will work with the Office of Human Resources to obtain staff eligibility lists. A Webster hiring committee will be established which will recruit, screen, interview, and select all new hires for teaching, coaching, and other positions related to the school improvement plan. With the support of human resources, protocols will be established to identify the most qualified candidates.
• January 2017 – Establish hiring committee
• January to March 2017 – Obtain eligibility lists, screening, and interview protocols
• April 2017 to June 2017 – Interview and select qualified candidates
</t>
    </r>
    <r>
      <rPr>
        <sz val="12"/>
        <color rgb="FFFF0000"/>
        <rFont val="Arial"/>
        <family val="2"/>
      </rPr>
      <t>In progress</t>
    </r>
  </si>
  <si>
    <r>
      <t xml:space="preserve">In preparation for the 2017-2018 school year, teachers will receive training on Achieve 3000, NewsELA, ALEKS, and AVID strategies to be implemented during year one of the school improvement plan. In addition, instructional support for teachers that includes coaching, common planning time, observation and feedback will be provided. Our professional Development vision is to establish the conditions for teachers to provide daily opportunities that promote student-to-student content discussions, as measured by lesson plan activities and observation.  Webster’s Professional Development focus is to continue to implement AVID strategies school wide in conjunction with common core state standards and LAUSD EL Master Plan. Professional Development will focus on developing a Tiered system to support all students and especially the African American (AA), English Learners (EL), and Students With Disabilities (SWD) subgroups in preparing them to move up in proficiency bands measured by the Smarter Balanced Assessment. Administration Staff, NBC Teachers, and Department Chairs at Webster MS will provide Professional Development during and/or beyond the regular assignment to all faculty to create a differentiated approach to instruction and intervention. 
</t>
    </r>
    <r>
      <rPr>
        <sz val="12"/>
        <color rgb="FFFF0000"/>
        <rFont val="Arial"/>
        <family val="2"/>
      </rPr>
      <t>In progress</t>
    </r>
  </si>
  <si>
    <r>
      <t xml:space="preserve">Professional development foci will include:
• Improving teachers' understanding and implementation of Blooms taxonomy/questioning techniques as measured by classroom observation.
• Providing opportunities for teachers to do peer observations and participate in customized professional development.
• Improve teachers' understanding and implementation of AVID strategies (Costa’s levels of questions, Critical Reading and the Cornell Way) as measured by classroom observations and instructional rounds.
• Provide opportunities for teachers to collaborate and create lesson plans and assessments aligned to the Teaching and Learning Framework, EL Master Plan and common core state standards. 
• Backwards Planning
• Unpacking Interim Assessments
• School Wide Reading and Writing across all content areas
• Identifying Students at Risk and Gifted Students
• Project Based Learning
• Math Practices; Aligning student activities/lessons to CCSS
• SBAC Data Analysis and Aligning Instruction and Assessments
• Student Work Analysis and Instruction
• Lessons that emphasis evidence based learning through students giving a rational for problem solutions and evidence problem solving
• Evidence to problem responses i. e. making a rational and supporting solution through sequential details
• Close reading
• Inquiry Based projects and Real World Math
• CCSS Aligned Questions and Planning using Technology
</t>
    </r>
    <r>
      <rPr>
        <sz val="12"/>
        <color rgb="FFFF0000"/>
        <rFont val="Arial"/>
        <family val="2"/>
      </rPr>
      <t>In progress</t>
    </r>
  </si>
  <si>
    <r>
      <t xml:space="preserve">Teachers and staff will attend the following conferences for the purpose of exploring and researching best practices in the fields of STEM, STEAM, AVID, literacy, math, grade level instruction, remediation, and enrichment:
• AVID Conference – July 2017
• California League of Middle Schools – November 2016
• National Council of Teacher of Mathematics – November 2016
Teachers will receive professional development during June 2017 from STEAM Education which will allow for support all student learning and the developing functional literacy skills in all students.
Teachers will engage in a professional reading during the planning year to support new changes at Webster MS. 
</t>
    </r>
    <r>
      <rPr>
        <sz val="12"/>
        <color rgb="FFFF0000"/>
        <rFont val="Arial"/>
        <family val="2"/>
      </rPr>
      <t>In progress</t>
    </r>
  </si>
  <si>
    <r>
      <t xml:space="preserve">The Webster SIG Committee will review and finalize implementation plan based on the Spring School Review data, previous single school plan needs assessment data, stakeholder feedback (parents, staff, and students), and completed surveys.  Review and finalize implementation.
</t>
    </r>
    <r>
      <rPr>
        <sz val="12"/>
        <color rgb="FFFF0000"/>
        <rFont val="Arial"/>
        <family val="2"/>
      </rPr>
      <t>In progress - to be completed by June 30, 2017</t>
    </r>
  </si>
  <si>
    <r>
      <t xml:space="preserve">Provide parent workshop to be conducted during the Fall to assist parents in the use of technology, including the parent component of the Learning Management System to communicate with teachers and support the learning of their children. Parents will develop a deeper understanding of the instructional strategies and materials being used in the classroom and better inform them to make recommendations for development of the SIG implementation plan.
Provide an option for parents to participate in meetings/events via web conference and webinars accessible through school website. 
Provide STEAM workshops for parents that engage them in hands-on activities for the purpose of furthering their understanding of STEAM and STEM principles that will benefit their child’s functional literacy across all disciplines as part of a comprehensive school improvement program. Pre and post surveys will be administered to measure the effectiveness of the workshop and to inform future planning.
• Fall workshop to be conducted by November 15, 2016 </t>
    </r>
    <r>
      <rPr>
        <sz val="12"/>
        <color rgb="FFFF0000"/>
        <rFont val="Arial"/>
        <family val="2"/>
      </rPr>
      <t>(not held)</t>
    </r>
    <r>
      <rPr>
        <sz val="12"/>
        <rFont val="Arial"/>
        <family val="2"/>
      </rPr>
      <t xml:space="preserve">
• Spring workshop to be conducted by April 15, 2017
</t>
    </r>
    <r>
      <rPr>
        <sz val="12"/>
        <color rgb="FFFF0000"/>
        <rFont val="Arial"/>
        <family val="2"/>
      </rPr>
      <t>In progress</t>
    </r>
  </si>
  <si>
    <t>FY 2016-17
Actuals</t>
  </si>
  <si>
    <t>carryover</t>
  </si>
  <si>
    <t>year 2 award</t>
  </si>
  <si>
    <t>total year 2 budget</t>
  </si>
  <si>
    <t>Professional reading materials for teachers to engage in professional reading during the year.
18 books x $40 = $720</t>
  </si>
  <si>
    <t>RS 04</t>
  </si>
  <si>
    <t>Pending SSC reallocation for next meeting</t>
  </si>
  <si>
    <t>FY 2017-18
Budget Revisions
Q2 - Oct 2017</t>
  </si>
  <si>
    <t>FY 2017-18
Budget Revisions
Q2 - Nov 2017</t>
  </si>
  <si>
    <t>General supplies technology to protect chromebooks and laptops
337 covers x $40/ea = $13,480 
77 chromebook covers x ~$50/ea = $3,854</t>
  </si>
  <si>
    <t>`</t>
  </si>
  <si>
    <t>Campus Aide Z Time Benefits</t>
  </si>
  <si>
    <r>
      <rPr>
        <b/>
        <sz val="12"/>
        <rFont val="Arial"/>
        <family val="2"/>
      </rPr>
      <t xml:space="preserve">Campus Aide Z time </t>
    </r>
    <r>
      <rPr>
        <sz val="12"/>
        <rFont val="Arial"/>
        <family val="2"/>
      </rPr>
      <t>to support summer school and summer bridge programs
June 2018: 1 Campus Aides x 5 hrs/day x 5 days/wk x 2 weeks $16/hr = $800
July 2018: 1 Campus Aides x 5 hrs/day 5 days/wk x 2 weeks $16/hr = $800</t>
    </r>
  </si>
  <si>
    <r>
      <rPr>
        <b/>
        <sz val="12"/>
        <rFont val="Arial"/>
        <family val="2"/>
      </rPr>
      <t xml:space="preserve">FTE 1.0 </t>
    </r>
    <r>
      <rPr>
        <b/>
        <strike/>
        <sz val="12"/>
        <rFont val="Arial"/>
        <family val="2"/>
      </rPr>
      <t>Microcomputer Support Assistant</t>
    </r>
    <r>
      <rPr>
        <sz val="12"/>
        <rFont val="Arial"/>
        <family val="2"/>
      </rPr>
      <t xml:space="preserve"> </t>
    </r>
    <r>
      <rPr>
        <b/>
        <sz val="12"/>
        <rFont val="Arial"/>
        <family val="2"/>
      </rPr>
      <t>IT Support Technician</t>
    </r>
    <r>
      <rPr>
        <sz val="12"/>
        <rFont val="Arial"/>
        <family val="2"/>
      </rPr>
      <t xml:space="preserve"> to support the instructional technology on campus and ensure students have access at all times.</t>
    </r>
  </si>
  <si>
    <r>
      <rPr>
        <strike/>
        <sz val="12"/>
        <rFont val="Arial"/>
        <family val="2"/>
      </rPr>
      <t xml:space="preserve">Microcomputer Support Assistant </t>
    </r>
    <r>
      <rPr>
        <sz val="12"/>
        <rFont val="Arial"/>
        <family val="2"/>
      </rPr>
      <t>IT Suppot Technician Benefits</t>
    </r>
  </si>
  <si>
    <t>potential savings for FY 2017-18</t>
  </si>
  <si>
    <t>clerical overtime</t>
  </si>
  <si>
    <t>custodial overtime</t>
  </si>
  <si>
    <t>chorus and general music IMA</t>
  </si>
  <si>
    <t>project lead the way conference?</t>
  </si>
  <si>
    <t>design thinking conference</t>
  </si>
  <si>
    <t>conference attendance</t>
  </si>
  <si>
    <t>intervention class materials</t>
  </si>
  <si>
    <t>estimated savings</t>
  </si>
  <si>
    <t>FY 2017-18
Budget Revisions
Q3 - Apr 2018</t>
  </si>
  <si>
    <t>FY 2018-19
Budget Revisions
Apr 2018</t>
  </si>
  <si>
    <t>Band and Orchestra technology to provide students with an opportunity to apply musical software to support the music program.
Year 2: 2 computers x $1,828.50 = $3,657</t>
  </si>
  <si>
    <t>Secondary Teacher (Math Intervention Teacher) Benefits</t>
  </si>
  <si>
    <r>
      <t xml:space="preserve">FTE 1.0 Math Intervention Teacher </t>
    </r>
    <r>
      <rPr>
        <sz val="12"/>
        <rFont val="Arial"/>
        <family val="2"/>
      </rPr>
      <t>to differentiate Core standards-based instruction, establish a learning center, deliver professional development, develop and monitor of student intervention plan utilizing data.</t>
    </r>
  </si>
  <si>
    <r>
      <rPr>
        <b/>
        <sz val="12"/>
        <rFont val="Arial"/>
        <family val="2"/>
      </rPr>
      <t xml:space="preserve">Online intervention platforms </t>
    </r>
    <r>
      <rPr>
        <sz val="12"/>
        <rFont val="Arial"/>
        <family val="2"/>
      </rPr>
      <t>to quantify the effects of our instructional program by calculating baseline data and supporting with an intervention goals throughout the school year.</t>
    </r>
  </si>
  <si>
    <r>
      <rPr>
        <b/>
        <strike/>
        <sz val="12"/>
        <rFont val="Arial"/>
        <family val="2"/>
      </rPr>
      <t>ALEKS</t>
    </r>
    <r>
      <rPr>
        <sz val="12"/>
        <rFont val="Arial"/>
        <family val="2"/>
      </rPr>
      <t xml:space="preserve"> Software License including but not limited to ALEKS to provide online math intervention to students performing below grade level.</t>
    </r>
  </si>
  <si>
    <r>
      <rPr>
        <b/>
        <sz val="12"/>
        <rFont val="Arial"/>
        <family val="2"/>
      </rPr>
      <t>Assessment platform</t>
    </r>
    <r>
      <rPr>
        <sz val="12"/>
        <rFont val="Arial"/>
        <family val="2"/>
      </rPr>
      <t xml:space="preserve"> such as School City for data analysis for teachers and staff to deliver a fully integrated instructional system that provides curriculum and instructional tools, assessments performance, report progress and provide valuable next steps information.
(unable to contract in year 2 because of lengthy UDIPP approval process)</t>
    </r>
  </si>
  <si>
    <r>
      <rPr>
        <b/>
        <sz val="12"/>
        <rFont val="Arial"/>
        <family val="2"/>
      </rPr>
      <t>Project Lead the Way Instructional Materials</t>
    </r>
    <r>
      <rPr>
        <sz val="12"/>
        <rFont val="Arial"/>
        <family val="2"/>
      </rPr>
      <t xml:space="preserve"> will be provided to ensure students have access to quality 21st century instructional materials and equipment. These materials may include but not limited to VEX robotic kits, engineering notebooks, measuring instruments, and digital cameras.</t>
    </r>
  </si>
  <si>
    <r>
      <t xml:space="preserve">Band and Orchestra Instructional Materials to acquire new musical instrument collection and modern music technology on an annual basis in order to provide music enrichment program.
Years 2-5:
Music Software
4 licenses for Logic Pro X x $199 = $796
1 Smart Music - Educator Subscription x $140 = $140
</t>
    </r>
    <r>
      <rPr>
        <strike/>
        <sz val="12"/>
        <rFont val="Arial"/>
        <family val="2"/>
      </rPr>
      <t>120</t>
    </r>
    <r>
      <rPr>
        <sz val="12"/>
        <rFont val="Arial"/>
        <family val="2"/>
      </rPr>
      <t xml:space="preserve"> 40 Smart Music Student Subscription x $40 each = </t>
    </r>
    <r>
      <rPr>
        <strike/>
        <sz val="12"/>
        <rFont val="Arial"/>
        <family val="2"/>
      </rPr>
      <t>$4,800</t>
    </r>
    <r>
      <rPr>
        <sz val="12"/>
        <rFont val="Arial"/>
        <family val="2"/>
      </rPr>
      <t xml:space="preserve"> $1,600</t>
    </r>
  </si>
  <si>
    <r>
      <rPr>
        <b/>
        <sz val="12"/>
        <rFont val="Arial"/>
        <family val="2"/>
      </rPr>
      <t>Intervention Class Materials</t>
    </r>
    <r>
      <rPr>
        <sz val="12"/>
        <rFont val="Arial"/>
        <family val="2"/>
      </rPr>
      <t xml:space="preserve"> that are needed to provide hard copy access to students to support intervention/enrichment for after school tutoring and summer school and summer bridge programs.
(after school - $5,965.90, summer school $8,000, summer bridge $2,000)</t>
    </r>
  </si>
  <si>
    <r>
      <t xml:space="preserve">On-going </t>
    </r>
    <r>
      <rPr>
        <b/>
        <sz val="12"/>
        <rFont val="Arial"/>
        <family val="2"/>
      </rPr>
      <t>Project Lead the Way</t>
    </r>
    <r>
      <rPr>
        <sz val="12"/>
        <rFont val="Arial"/>
        <family val="2"/>
      </rPr>
      <t xml:space="preserve"> PD conference attendance to provide professional development to elective teachers teaching computer science and engineering design courses. Training to be provided to core science teacher during sustainability year  4 and 5 so that elective may be maintained after SIG has ended.
(changed minor object code from 5800 to 5200)</t>
    </r>
  </si>
  <si>
    <r>
      <rPr>
        <b/>
        <sz val="12"/>
        <rFont val="Arial"/>
        <family val="2"/>
      </rPr>
      <t>Design Thinking Training</t>
    </r>
    <r>
      <rPr>
        <sz val="12"/>
        <rFont val="Arial"/>
        <family val="2"/>
      </rPr>
      <t xml:space="preserve"> conference attendance from Design Thinking Institute to provide professional develop to teachers that will allow them to engage students in applying the engineering design process to project based learning activities and increase students ability to apply creativity and critical thinking skills
(changed minor object code from 5800 to 5200)</t>
    </r>
  </si>
  <si>
    <r>
      <rPr>
        <b/>
        <sz val="12"/>
        <rFont val="Arial"/>
        <family val="2"/>
      </rPr>
      <t>Bus transportation</t>
    </r>
    <r>
      <rPr>
        <sz val="12"/>
        <rFont val="Arial"/>
        <family val="2"/>
      </rPr>
      <t xml:space="preserve"> needed to improve students' opportunity to participate in after school and intervention programs, and Saturday School  and summer programs since most students are bussed in.
After school tutoring: 2 buses x $370/bus x 34 weeks = $25,160
(Budgeted in 580012, expensed in 430091 and 510004)</t>
    </r>
  </si>
  <si>
    <r>
      <rPr>
        <b/>
        <sz val="12"/>
        <rFont val="Arial"/>
        <family val="2"/>
      </rPr>
      <t xml:space="preserve">Travel and conference attendance </t>
    </r>
    <r>
      <rPr>
        <sz val="12"/>
        <rFont val="Arial"/>
        <family val="2"/>
      </rPr>
      <t xml:space="preserve">to increase capacity for teacher and school leaders:
</t>
    </r>
    <r>
      <rPr>
        <u/>
        <sz val="12"/>
        <rFont val="Arial"/>
        <family val="2"/>
      </rPr>
      <t>Years 1-5:</t>
    </r>
    <r>
      <rPr>
        <sz val="12"/>
        <rFont val="Arial"/>
        <family val="2"/>
      </rPr>
      <t xml:space="preserve">
</t>
    </r>
    <r>
      <rPr>
        <b/>
        <sz val="12"/>
        <rFont val="Arial"/>
        <family val="2"/>
      </rPr>
      <t xml:space="preserve">AVID Conference </t>
    </r>
    <r>
      <rPr>
        <sz val="12"/>
        <rFont val="Arial"/>
        <family val="2"/>
      </rPr>
      <t xml:space="preserve">Registration to improve teachers' understanding and implementation of AVID strategies (Costa’s levels of questions, Critical Reading and the Cornell Way) as measured by classroom observations and instructional rounds.
</t>
    </r>
    <r>
      <rPr>
        <strike/>
        <sz val="12"/>
        <rFont val="Arial"/>
        <family val="2"/>
      </rPr>
      <t>8</t>
    </r>
    <r>
      <rPr>
        <sz val="12"/>
        <rFont val="Arial"/>
        <family val="2"/>
      </rPr>
      <t xml:space="preserve"> 4 teachers x $600 = </t>
    </r>
    <r>
      <rPr>
        <strike/>
        <sz val="12"/>
        <rFont val="Arial"/>
        <family val="2"/>
      </rPr>
      <t>$4,800</t>
    </r>
    <r>
      <rPr>
        <sz val="12"/>
        <rFont val="Arial"/>
        <family val="2"/>
      </rPr>
      <t xml:space="preserve"> $2,400
AVID Conference Expenses (accommodations, travel, per diem)
accommodations: </t>
    </r>
    <r>
      <rPr>
        <strike/>
        <sz val="12"/>
        <rFont val="Arial"/>
        <family val="2"/>
      </rPr>
      <t>8</t>
    </r>
    <r>
      <rPr>
        <sz val="12"/>
        <rFont val="Arial"/>
        <family val="2"/>
      </rPr>
      <t xml:space="preserve"> 4 teachers x $750 = </t>
    </r>
    <r>
      <rPr>
        <strike/>
        <sz val="12"/>
        <rFont val="Arial"/>
        <family val="2"/>
      </rPr>
      <t>$6,000</t>
    </r>
    <r>
      <rPr>
        <sz val="12"/>
        <rFont val="Arial"/>
        <family val="2"/>
      </rPr>
      <t xml:space="preserve"> $3,000
Travel: </t>
    </r>
    <r>
      <rPr>
        <strike/>
        <sz val="12"/>
        <rFont val="Arial"/>
        <family val="2"/>
      </rPr>
      <t>8</t>
    </r>
    <r>
      <rPr>
        <sz val="12"/>
        <rFont val="Arial"/>
        <family val="2"/>
      </rPr>
      <t xml:space="preserve"> 4 teachers x $400 = </t>
    </r>
    <r>
      <rPr>
        <strike/>
        <sz val="12"/>
        <rFont val="Arial"/>
        <family val="2"/>
      </rPr>
      <t>$3,200</t>
    </r>
    <r>
      <rPr>
        <sz val="12"/>
        <rFont val="Arial"/>
        <family val="2"/>
      </rPr>
      <t xml:space="preserve"> $1,600
Per Diem: </t>
    </r>
    <r>
      <rPr>
        <strike/>
        <sz val="12"/>
        <rFont val="Arial"/>
        <family val="2"/>
      </rPr>
      <t>8</t>
    </r>
    <r>
      <rPr>
        <sz val="12"/>
        <rFont val="Arial"/>
        <family val="2"/>
      </rPr>
      <t xml:space="preserve"> 4 teachers x $300 = </t>
    </r>
    <r>
      <rPr>
        <strike/>
        <sz val="12"/>
        <rFont val="Arial"/>
        <family val="2"/>
      </rPr>
      <t xml:space="preserve">$2,400 </t>
    </r>
    <r>
      <rPr>
        <sz val="12"/>
        <rFont val="Arial"/>
        <family val="2"/>
      </rPr>
      <t xml:space="preserve">$1,200
</t>
    </r>
    <r>
      <rPr>
        <u/>
        <sz val="12"/>
        <rFont val="Arial"/>
        <family val="2"/>
      </rPr>
      <t xml:space="preserve">Years 2-5:
</t>
    </r>
    <r>
      <rPr>
        <sz val="12"/>
        <rFont val="Arial"/>
        <family val="2"/>
      </rPr>
      <t>Conference attendance to support instructional technology, math instruction, literacy, and PLTW including but not limited to CUE, ISTI, California League of Middle School, National Council for Teachers of Mathematics, and Association of Supervision and Curriculum Development.</t>
    </r>
    <r>
      <rPr>
        <b/>
        <sz val="12"/>
        <rFont val="Arial"/>
        <family val="2"/>
      </rPr>
      <t xml:space="preserve">
</t>
    </r>
    <r>
      <rPr>
        <b/>
        <strike/>
        <sz val="12"/>
        <rFont val="Arial"/>
        <family val="2"/>
      </rPr>
      <t>California League of Middle School Conferenc</t>
    </r>
    <r>
      <rPr>
        <strike/>
        <sz val="12"/>
        <rFont val="Arial"/>
        <family val="2"/>
      </rPr>
      <t xml:space="preserve">e Registration
8 teachers x $600 = $4,800
</t>
    </r>
    <r>
      <rPr>
        <b/>
        <strike/>
        <sz val="12"/>
        <rFont val="Arial"/>
        <family val="2"/>
      </rPr>
      <t>National Council for Teachers of Mathematics</t>
    </r>
    <r>
      <rPr>
        <strike/>
        <sz val="12"/>
        <rFont val="Arial"/>
        <family val="2"/>
      </rPr>
      <t xml:space="preserve"> Conference Registration
6 teachers x $340 = $2,040
</t>
    </r>
    <r>
      <rPr>
        <b/>
        <strike/>
        <sz val="12"/>
        <rFont val="Arial"/>
        <family val="2"/>
      </rPr>
      <t xml:space="preserve">Association for Supervision and Curriculum Development </t>
    </r>
    <r>
      <rPr>
        <strike/>
        <sz val="12"/>
        <rFont val="Arial"/>
        <family val="2"/>
      </rPr>
      <t>Conference Registration
1 administrator x $539 = $539</t>
    </r>
  </si>
  <si>
    <t>FY 2017-18
Budget Revisions
Q4 - Jul/Aug 2018</t>
  </si>
  <si>
    <t>FY 2018-19
Budget Revisions
Q1 Aug 2018</t>
  </si>
  <si>
    <t>FY 2019-20
Budget Revision
Aug 2018</t>
  </si>
  <si>
    <t>FY 2020-21 Budget Revision</t>
  </si>
  <si>
    <t>FY 2020-21 Budget Revision
Aug 2018</t>
  </si>
  <si>
    <t>year 3 award</t>
  </si>
  <si>
    <t>Anticipated negotiated salary increase retro pay adjustment</t>
  </si>
  <si>
    <r>
      <t xml:space="preserve">Teacher X time for teachers to collaboratively unit and lesson plan prior to school starting and in preparation for the new school year.
</t>
    </r>
    <r>
      <rPr>
        <u/>
        <sz val="12"/>
        <rFont val="Arial"/>
        <family val="2"/>
      </rPr>
      <t>Year 3 (August 2018):</t>
    </r>
    <r>
      <rPr>
        <sz val="12"/>
        <rFont val="Arial"/>
        <family val="2"/>
      </rPr>
      <t xml:space="preserve"> 1 counselor x 6 hrs x 4 days  x $69/hr = $1,656</t>
    </r>
  </si>
  <si>
    <t>suppl award</t>
  </si>
  <si>
    <t>year 4 award</t>
  </si>
  <si>
    <t>year 5 award</t>
  </si>
  <si>
    <t>total year 3 budget</t>
  </si>
  <si>
    <t>total year 4 budget</t>
  </si>
  <si>
    <t>total year 5 budget</t>
  </si>
  <si>
    <t>Teacher X/Z Time Benefits</t>
  </si>
  <si>
    <r>
      <rPr>
        <b/>
        <u/>
        <sz val="12"/>
        <rFont val="Arial"/>
        <family val="2"/>
      </rPr>
      <t>Year 1:</t>
    </r>
    <r>
      <rPr>
        <b/>
        <sz val="12"/>
        <rFont val="Arial"/>
        <family val="2"/>
      </rPr>
      <t xml:space="preserve"> Teacher X time for</t>
    </r>
    <r>
      <rPr>
        <sz val="12"/>
        <rFont val="Arial"/>
        <family val="2"/>
      </rPr>
      <t xml:space="preserve"> teacher to plan </t>
    </r>
    <r>
      <rPr>
        <b/>
        <sz val="12"/>
        <rFont val="Arial"/>
        <family val="2"/>
      </rPr>
      <t xml:space="preserve">parent workshops </t>
    </r>
    <r>
      <rPr>
        <sz val="12"/>
        <rFont val="Arial"/>
        <family val="2"/>
      </rPr>
      <t xml:space="preserve">during the planning year.
</t>
    </r>
    <r>
      <rPr>
        <strike/>
        <sz val="12"/>
        <rFont val="Arial"/>
        <family val="2"/>
      </rPr>
      <t>8</t>
    </r>
    <r>
      <rPr>
        <sz val="12"/>
        <rFont val="Arial"/>
        <family val="2"/>
      </rPr>
      <t xml:space="preserve"> 3 teachers x 8 hours x $65/hr = </t>
    </r>
    <r>
      <rPr>
        <strike/>
        <sz val="12"/>
        <rFont val="Arial"/>
        <family val="2"/>
      </rPr>
      <t>$4160</t>
    </r>
    <r>
      <rPr>
        <sz val="12"/>
        <rFont val="Arial"/>
        <family val="2"/>
      </rPr>
      <t xml:space="preserve"> $1,560
</t>
    </r>
    <r>
      <rPr>
        <b/>
        <sz val="12"/>
        <rFont val="Arial"/>
        <family val="2"/>
      </rPr>
      <t>Teacher X time for</t>
    </r>
    <r>
      <rPr>
        <sz val="12"/>
        <rFont val="Arial"/>
        <family val="2"/>
      </rPr>
      <t xml:space="preserve"> teachers to engage in </t>
    </r>
    <r>
      <rPr>
        <b/>
        <sz val="12"/>
        <rFont val="Arial"/>
        <family val="2"/>
      </rPr>
      <t>professional</t>
    </r>
    <r>
      <rPr>
        <sz val="12"/>
        <rFont val="Arial"/>
        <family val="2"/>
      </rPr>
      <t xml:space="preserve"> </t>
    </r>
    <r>
      <rPr>
        <b/>
        <sz val="12"/>
        <rFont val="Arial"/>
        <family val="2"/>
      </rPr>
      <t>reading</t>
    </r>
    <r>
      <rPr>
        <sz val="12"/>
        <rFont val="Arial"/>
        <family val="2"/>
      </rPr>
      <t xml:space="preserve"> during planning year.
</t>
    </r>
    <r>
      <rPr>
        <strike/>
        <sz val="12"/>
        <rFont val="Arial"/>
        <family val="2"/>
      </rPr>
      <t>28 20</t>
    </r>
    <r>
      <rPr>
        <sz val="12"/>
        <rFont val="Arial"/>
        <family val="2"/>
      </rPr>
      <t xml:space="preserve"> 15 teachers x </t>
    </r>
    <r>
      <rPr>
        <strike/>
        <sz val="12"/>
        <rFont val="Arial"/>
        <family val="2"/>
      </rPr>
      <t>16</t>
    </r>
    <r>
      <rPr>
        <sz val="12"/>
        <rFont val="Arial"/>
        <family val="2"/>
      </rPr>
      <t xml:space="preserve"> 10 hours x $65/hr = </t>
    </r>
    <r>
      <rPr>
        <strike/>
        <sz val="12"/>
        <rFont val="Arial"/>
        <family val="2"/>
      </rPr>
      <t>$29,120</t>
    </r>
    <r>
      <rPr>
        <sz val="12"/>
        <rFont val="Arial"/>
        <family val="2"/>
      </rPr>
      <t xml:space="preserve"> </t>
    </r>
    <r>
      <rPr>
        <strike/>
        <sz val="12"/>
        <rFont val="Arial"/>
        <family val="2"/>
      </rPr>
      <t>$20,800</t>
    </r>
    <r>
      <rPr>
        <sz val="12"/>
        <rFont val="Arial"/>
        <family val="2"/>
      </rPr>
      <t xml:space="preserve"> $9,750
Teacher X time to pay teachers to plan for SIG acivities during implementation years.
5 Teachers x 25 hours x $65/hr = $8,125
</t>
    </r>
    <r>
      <rPr>
        <b/>
        <u/>
        <sz val="12"/>
        <rFont val="Arial"/>
        <family val="2"/>
      </rPr>
      <t>Year 2:</t>
    </r>
    <r>
      <rPr>
        <sz val="12"/>
        <rFont val="Arial"/>
        <family val="2"/>
      </rPr>
      <t xml:space="preserve"> Teacher X time for teachers to engage in professional reading during the year
15 teachers x 10 hours x $65/hr = $9,750
</t>
    </r>
    <r>
      <rPr>
        <b/>
        <sz val="12"/>
        <rFont val="Arial"/>
        <family val="2"/>
      </rPr>
      <t>Teacher X time to analyze</t>
    </r>
    <r>
      <rPr>
        <sz val="12"/>
        <rFont val="Arial"/>
        <family val="2"/>
      </rPr>
      <t xml:space="preserve"> student </t>
    </r>
    <r>
      <rPr>
        <b/>
        <sz val="12"/>
        <rFont val="Arial"/>
        <family val="2"/>
      </rPr>
      <t>data</t>
    </r>
    <r>
      <rPr>
        <sz val="12"/>
        <rFont val="Arial"/>
        <family val="2"/>
      </rPr>
      <t xml:space="preserve">, student work, plan lessons and STEAM planning, </t>
    </r>
    <r>
      <rPr>
        <b/>
        <sz val="12"/>
        <rFont val="Arial"/>
        <family val="2"/>
      </rPr>
      <t>and collaborate</t>
    </r>
    <r>
      <rPr>
        <sz val="12"/>
        <rFont val="Arial"/>
        <family val="2"/>
      </rPr>
      <t xml:space="preserve"> with team teachers throughout the school year:
</t>
    </r>
    <r>
      <rPr>
        <u/>
        <sz val="12"/>
        <rFont val="Arial"/>
        <family val="2"/>
      </rPr>
      <t>Year 2</t>
    </r>
    <r>
      <rPr>
        <sz val="12"/>
        <rFont val="Arial"/>
        <family val="2"/>
      </rPr>
      <t xml:space="preserve">: </t>
    </r>
    <r>
      <rPr>
        <strike/>
        <sz val="12"/>
        <rFont val="Arial"/>
        <family val="2"/>
      </rPr>
      <t>35</t>
    </r>
    <r>
      <rPr>
        <sz val="12"/>
        <rFont val="Arial"/>
        <family val="2"/>
      </rPr>
      <t xml:space="preserve"> 24 Teachers x </t>
    </r>
    <r>
      <rPr>
        <strike/>
        <sz val="12"/>
        <rFont val="Arial"/>
        <family val="2"/>
      </rPr>
      <t>41</t>
    </r>
    <r>
      <rPr>
        <sz val="12"/>
        <rFont val="Arial"/>
        <family val="2"/>
      </rPr>
      <t xml:space="preserve"> 42 hours x $65/hr =</t>
    </r>
    <r>
      <rPr>
        <strike/>
        <sz val="12"/>
        <rFont val="Arial"/>
        <family val="2"/>
      </rPr>
      <t xml:space="preserve"> $93,275</t>
    </r>
    <r>
      <rPr>
        <sz val="12"/>
        <rFont val="Arial"/>
        <family val="2"/>
      </rPr>
      <t xml:space="preserve"> $65,520
</t>
    </r>
    <r>
      <rPr>
        <u/>
        <sz val="12"/>
        <rFont val="Arial"/>
        <family val="2"/>
      </rPr>
      <t>Year 3</t>
    </r>
    <r>
      <rPr>
        <sz val="12"/>
        <rFont val="Arial"/>
        <family val="2"/>
      </rPr>
      <t xml:space="preserve">: </t>
    </r>
    <r>
      <rPr>
        <strike/>
        <sz val="12"/>
        <rFont val="Arial"/>
        <family val="2"/>
      </rPr>
      <t>35</t>
    </r>
    <r>
      <rPr>
        <sz val="12"/>
        <rFont val="Arial"/>
        <family val="2"/>
      </rPr>
      <t xml:space="preserve"> 15 Teachers x </t>
    </r>
    <r>
      <rPr>
        <strike/>
        <sz val="12"/>
        <rFont val="Arial"/>
        <family val="2"/>
      </rPr>
      <t>42 40</t>
    </r>
    <r>
      <rPr>
        <sz val="12"/>
        <rFont val="Arial"/>
        <family val="2"/>
      </rPr>
      <t xml:space="preserve"> 80 hours x </t>
    </r>
    <r>
      <rPr>
        <strike/>
        <sz val="12"/>
        <rFont val="Arial"/>
        <family val="2"/>
      </rPr>
      <t xml:space="preserve">$65/hr </t>
    </r>
    <r>
      <rPr>
        <sz val="12"/>
        <rFont val="Arial"/>
        <family val="2"/>
      </rPr>
      <t xml:space="preserve">$69/hr = </t>
    </r>
    <r>
      <rPr>
        <strike/>
        <sz val="12"/>
        <rFont val="Arial"/>
        <family val="2"/>
      </rPr>
      <t>$95,550</t>
    </r>
    <r>
      <rPr>
        <sz val="12"/>
        <rFont val="Arial"/>
        <family val="2"/>
      </rPr>
      <t xml:space="preserve"> </t>
    </r>
    <r>
      <rPr>
        <strike/>
        <sz val="12"/>
        <rFont val="Arial"/>
        <family val="2"/>
      </rPr>
      <t>$91,000 $78,000</t>
    </r>
    <r>
      <rPr>
        <sz val="12"/>
        <rFont val="Arial"/>
        <family val="2"/>
      </rPr>
      <t xml:space="preserve"> $82,800
</t>
    </r>
    <r>
      <rPr>
        <u/>
        <sz val="12"/>
        <rFont val="Arial"/>
        <family val="2"/>
      </rPr>
      <t>Year 4</t>
    </r>
    <r>
      <rPr>
        <sz val="12"/>
        <rFont val="Arial"/>
        <family val="2"/>
      </rPr>
      <t xml:space="preserve">: 35 Teachers x </t>
    </r>
    <r>
      <rPr>
        <strike/>
        <sz val="12"/>
        <rFont val="Arial"/>
        <family val="2"/>
      </rPr>
      <t>45</t>
    </r>
    <r>
      <rPr>
        <sz val="12"/>
        <rFont val="Arial"/>
        <family val="2"/>
      </rPr>
      <t xml:space="preserve"> 40 hours x </t>
    </r>
    <r>
      <rPr>
        <strike/>
        <sz val="12"/>
        <rFont val="Arial"/>
        <family val="2"/>
      </rPr>
      <t>$65/hr</t>
    </r>
    <r>
      <rPr>
        <sz val="12"/>
        <rFont val="Arial"/>
        <family val="2"/>
      </rPr>
      <t xml:space="preserve"> $69/hr = </t>
    </r>
    <r>
      <rPr>
        <strike/>
        <sz val="12"/>
        <rFont val="Arial"/>
        <family val="2"/>
      </rPr>
      <t>$102,375 $91,000</t>
    </r>
    <r>
      <rPr>
        <sz val="12"/>
        <rFont val="Arial"/>
        <family val="2"/>
      </rPr>
      <t xml:space="preserve"> $96,600
</t>
    </r>
    <r>
      <rPr>
        <u/>
        <sz val="12"/>
        <rFont val="Arial"/>
        <family val="2"/>
      </rPr>
      <t>Year 5</t>
    </r>
    <r>
      <rPr>
        <sz val="12"/>
        <rFont val="Arial"/>
        <family val="2"/>
      </rPr>
      <t xml:space="preserve">: 35 Teachers x </t>
    </r>
    <r>
      <rPr>
        <strike/>
        <sz val="12"/>
        <rFont val="Arial"/>
        <family val="2"/>
      </rPr>
      <t>40</t>
    </r>
    <r>
      <rPr>
        <sz val="12"/>
        <rFont val="Arial"/>
        <family val="2"/>
      </rPr>
      <t xml:space="preserve"> 30 hours x </t>
    </r>
    <r>
      <rPr>
        <strike/>
        <sz val="12"/>
        <rFont val="Arial"/>
        <family val="2"/>
      </rPr>
      <t>$65/h</t>
    </r>
    <r>
      <rPr>
        <sz val="12"/>
        <rFont val="Arial"/>
        <family val="2"/>
      </rPr>
      <t xml:space="preserve">r $69/hr = </t>
    </r>
    <r>
      <rPr>
        <strike/>
        <sz val="12"/>
        <rFont val="Arial"/>
        <family val="2"/>
      </rPr>
      <t>$91,000 $68,250</t>
    </r>
    <r>
      <rPr>
        <sz val="12"/>
        <rFont val="Arial"/>
        <family val="2"/>
      </rPr>
      <t xml:space="preserve"> $72,450
X time for collaborating, discussing, and decision making for SIG activities, and for planning common assessments throughout the school year as well as analyzing data, student work, plan lessons and STEAM planning
Year 2: 7 teachers x 2 hrs/month x 8 months x $65/hr = $7,280
Year 3: 7 teachers x 20 hrs x $69/hr = $9,660
1 coach x 50 hrs x $69/hr = $3,450</t>
    </r>
  </si>
  <si>
    <t>X time for collaborating, discussing, and decision making for SIG activities, and for planning common assessments throughout the school year as well as analyzing data, student work, plan lessons and STEAM planning
Year 3: 1 counselor x 50 hrs x $69/hr = $3,450</t>
  </si>
  <si>
    <r>
      <t xml:space="preserve">X time for collaborating, discussing, and decision making for SIG activities, and for planning common assessments throughout the school year as well as analyzing data, student work, plan lessons and STEAM planning
Year 2: 1 coordinator x </t>
    </r>
    <r>
      <rPr>
        <strike/>
        <sz val="12"/>
        <rFont val="Arial"/>
        <family val="2"/>
      </rPr>
      <t>2 hrs/month x 8 months</t>
    </r>
    <r>
      <rPr>
        <sz val="12"/>
        <rFont val="Arial"/>
        <family val="2"/>
      </rPr>
      <t xml:space="preserve"> 23 hrs x $65/hr = </t>
    </r>
    <r>
      <rPr>
        <strike/>
        <sz val="12"/>
        <rFont val="Arial"/>
        <family val="2"/>
      </rPr>
      <t xml:space="preserve">$1,040 </t>
    </r>
    <r>
      <rPr>
        <sz val="12"/>
        <rFont val="Arial"/>
        <family val="2"/>
      </rPr>
      <t>$1,495
Year 3: 1 coordinator x 50 hrs x $69/hr = $3,450</t>
    </r>
  </si>
  <si>
    <r>
      <rPr>
        <b/>
        <sz val="12"/>
        <rFont val="Arial"/>
        <family val="2"/>
      </rPr>
      <t xml:space="preserve">Teacher X Time for </t>
    </r>
    <r>
      <rPr>
        <sz val="12"/>
        <rFont val="Arial"/>
        <family val="2"/>
      </rPr>
      <t>teachers to engage in</t>
    </r>
    <r>
      <rPr>
        <b/>
        <sz val="12"/>
        <rFont val="Arial"/>
        <family val="2"/>
      </rPr>
      <t xml:space="preserve"> professional development </t>
    </r>
    <r>
      <rPr>
        <sz val="12"/>
        <rFont val="Arial"/>
        <family val="2"/>
      </rPr>
      <t xml:space="preserve">through STEAM Education outside of their regular assignment calendar during the planning year.
</t>
    </r>
    <r>
      <rPr>
        <strike/>
        <sz val="12"/>
        <rFont val="Arial"/>
        <family val="2"/>
      </rPr>
      <t>35 31</t>
    </r>
    <r>
      <rPr>
        <sz val="12"/>
        <rFont val="Arial"/>
        <family val="2"/>
      </rPr>
      <t xml:space="preserve"> 24 Teachers  x 16 hours x $65/hr = </t>
    </r>
    <r>
      <rPr>
        <strike/>
        <sz val="12"/>
        <rFont val="Arial"/>
        <family val="2"/>
      </rPr>
      <t>$36,400</t>
    </r>
    <r>
      <rPr>
        <sz val="12"/>
        <rFont val="Arial"/>
        <family val="2"/>
      </rPr>
      <t xml:space="preserve"> </t>
    </r>
    <r>
      <rPr>
        <strike/>
        <sz val="12"/>
        <rFont val="Arial"/>
        <family val="2"/>
      </rPr>
      <t>$32,240</t>
    </r>
    <r>
      <rPr>
        <sz val="12"/>
        <rFont val="Arial"/>
        <family val="2"/>
      </rPr>
      <t xml:space="preserve"> $24,960
</t>
    </r>
    <r>
      <rPr>
        <b/>
        <sz val="12"/>
        <rFont val="Arial"/>
        <family val="2"/>
      </rPr>
      <t xml:space="preserve">Teacher X time for </t>
    </r>
    <r>
      <rPr>
        <sz val="12"/>
        <rFont val="Arial"/>
        <family val="2"/>
      </rPr>
      <t xml:space="preserve">teachers to collaboratively unit and lesson </t>
    </r>
    <r>
      <rPr>
        <b/>
        <sz val="12"/>
        <rFont val="Arial"/>
        <family val="2"/>
      </rPr>
      <t>plan</t>
    </r>
    <r>
      <rPr>
        <sz val="12"/>
        <rFont val="Arial"/>
        <family val="2"/>
      </rPr>
      <t xml:space="preserve"> prior to school </t>
    </r>
    <r>
      <rPr>
        <strike/>
        <sz val="12"/>
        <rFont val="Arial"/>
        <family val="2"/>
      </rPr>
      <t>starting</t>
    </r>
    <r>
      <rPr>
        <sz val="12"/>
        <rFont val="Arial"/>
        <family val="2"/>
      </rPr>
      <t xml:space="preserve"> ending and in preparation for the new school year.
Year 1: </t>
    </r>
    <r>
      <rPr>
        <strike/>
        <sz val="12"/>
        <rFont val="Arial"/>
        <family val="2"/>
      </rPr>
      <t>35 31</t>
    </r>
    <r>
      <rPr>
        <sz val="12"/>
        <rFont val="Arial"/>
        <family val="2"/>
      </rPr>
      <t xml:space="preserve"> 24 Teachers x </t>
    </r>
    <r>
      <rPr>
        <strike/>
        <sz val="12"/>
        <rFont val="Arial"/>
        <family val="2"/>
      </rPr>
      <t>18</t>
    </r>
    <r>
      <rPr>
        <sz val="12"/>
        <rFont val="Arial"/>
        <family val="2"/>
      </rPr>
      <t xml:space="preserve"> 12 hours x $65=</t>
    </r>
    <r>
      <rPr>
        <strike/>
        <sz val="12"/>
        <rFont val="Arial"/>
        <family val="2"/>
      </rPr>
      <t>$40,950 $24,180</t>
    </r>
    <r>
      <rPr>
        <sz val="12"/>
        <rFont val="Arial"/>
        <family val="2"/>
      </rPr>
      <t xml:space="preserve"> $18,720
</t>
    </r>
    <r>
      <rPr>
        <u/>
        <sz val="12"/>
        <rFont val="Arial"/>
        <family val="2"/>
      </rPr>
      <t xml:space="preserve">
Year 2:</t>
    </r>
    <r>
      <rPr>
        <sz val="12"/>
        <rFont val="Arial"/>
        <family val="2"/>
      </rPr>
      <t xml:space="preserve"> 35 teachers x 6 hrs/day x 5 days x $65/hr = $68,250 (Summer - June 2018)
</t>
    </r>
    <r>
      <rPr>
        <u/>
        <sz val="12"/>
        <rFont val="Arial"/>
        <family val="2"/>
      </rPr>
      <t>Year 3 (August 2018):</t>
    </r>
    <r>
      <rPr>
        <sz val="12"/>
        <rFont val="Arial"/>
        <family val="2"/>
      </rPr>
      <t xml:space="preserve"> 18 teachers x 6 hrs/day x 4 days x $69/hr = $29,808
</t>
    </r>
    <r>
      <rPr>
        <u/>
        <sz val="12"/>
        <rFont val="Arial"/>
        <family val="2"/>
      </rPr>
      <t xml:space="preserve">Years 4-5: </t>
    </r>
    <r>
      <rPr>
        <sz val="12"/>
        <rFont val="Arial"/>
        <family val="2"/>
      </rPr>
      <t xml:space="preserve">25 teachers x 12 hours x </t>
    </r>
    <r>
      <rPr>
        <strike/>
        <sz val="12"/>
        <rFont val="Arial"/>
        <family val="2"/>
      </rPr>
      <t>$65/hr</t>
    </r>
    <r>
      <rPr>
        <sz val="12"/>
        <rFont val="Arial"/>
        <family val="2"/>
      </rPr>
      <t xml:space="preserve"> $69/hr = </t>
    </r>
    <r>
      <rPr>
        <strike/>
        <sz val="12"/>
        <rFont val="Arial"/>
        <family val="2"/>
      </rPr>
      <t>$19,500</t>
    </r>
    <r>
      <rPr>
        <sz val="12"/>
        <rFont val="Arial"/>
        <family val="2"/>
      </rPr>
      <t xml:space="preserve"> $20,700
</t>
    </r>
    <r>
      <rPr>
        <b/>
        <sz val="12"/>
        <rFont val="Arial"/>
        <family val="2"/>
      </rPr>
      <t>Staff X Time</t>
    </r>
    <r>
      <rPr>
        <sz val="12"/>
        <rFont val="Arial"/>
        <family val="2"/>
      </rPr>
      <t xml:space="preserve"> for teachers to engage in </t>
    </r>
    <r>
      <rPr>
        <b/>
        <sz val="12"/>
        <rFont val="Arial"/>
        <family val="2"/>
      </rPr>
      <t>professional developmen</t>
    </r>
    <r>
      <rPr>
        <sz val="12"/>
        <rFont val="Arial"/>
        <family val="2"/>
      </rPr>
      <t>t for Mastery Learning and Grading
Year 2:  1 facilitator (teacher) x 18 hrs x $65/hr = $1,170,
8 teachers x 16 hrs x $65/hr = $8,320</t>
    </r>
  </si>
  <si>
    <r>
      <t xml:space="preserve">Staff X Time for teachers to engage in professional development for Mastery Learning and Grading
</t>
    </r>
    <r>
      <rPr>
        <u/>
        <sz val="12"/>
        <rFont val="Arial"/>
        <family val="2"/>
      </rPr>
      <t xml:space="preserve">Year 2: </t>
    </r>
    <r>
      <rPr>
        <sz val="12"/>
        <rFont val="Arial"/>
        <family val="2"/>
      </rPr>
      <t xml:space="preserve"> 1 facilitator (coordinator) x 18 hrs x $65/hr = $1,170
Teacher X time for teachers to collaboratively unit and lesson plan prior to school starting and in preparation for the new school year.
</t>
    </r>
    <r>
      <rPr>
        <u/>
        <sz val="12"/>
        <rFont val="Arial"/>
        <family val="2"/>
      </rPr>
      <t>Year 3 (August 2018):</t>
    </r>
    <r>
      <rPr>
        <sz val="12"/>
        <rFont val="Arial"/>
        <family val="2"/>
      </rPr>
      <t xml:space="preserve"> 1 coordinator x 6 hrs x 4 days  x $69/hr = $1,656</t>
    </r>
  </si>
  <si>
    <r>
      <t xml:space="preserve">Tutor Teacher X Time to teach in the </t>
    </r>
    <r>
      <rPr>
        <b/>
        <sz val="12"/>
        <rFont val="Arial"/>
        <family val="2"/>
      </rPr>
      <t>Saturday Academies</t>
    </r>
    <r>
      <rPr>
        <sz val="12"/>
        <rFont val="Arial"/>
        <family val="2"/>
      </rPr>
      <t xml:space="preserve">
Years 3-5: </t>
    </r>
    <r>
      <rPr>
        <strike/>
        <sz val="12"/>
        <rFont val="Arial"/>
        <family val="2"/>
      </rPr>
      <t>6</t>
    </r>
    <r>
      <rPr>
        <sz val="12"/>
        <rFont val="Arial"/>
        <family val="2"/>
      </rPr>
      <t xml:space="preserve"> 4 teachers x 144 hours x </t>
    </r>
    <r>
      <rPr>
        <strike/>
        <sz val="12"/>
        <rFont val="Arial"/>
        <family val="2"/>
      </rPr>
      <t>$65/hr</t>
    </r>
    <r>
      <rPr>
        <sz val="12"/>
        <rFont val="Arial"/>
        <family val="2"/>
      </rPr>
      <t xml:space="preserve"> $69/hr = </t>
    </r>
    <r>
      <rPr>
        <strike/>
        <sz val="12"/>
        <rFont val="Arial"/>
        <family val="2"/>
      </rPr>
      <t>$56,160 $37,440</t>
    </r>
    <r>
      <rPr>
        <sz val="12"/>
        <rFont val="Arial"/>
        <family val="2"/>
      </rPr>
      <t xml:space="preserve"> $39,744
Tutor Teacher X Time to provide after </t>
    </r>
    <r>
      <rPr>
        <b/>
        <sz val="12"/>
        <rFont val="Arial"/>
        <family val="2"/>
      </rPr>
      <t xml:space="preserve">school tutoring and intervention </t>
    </r>
    <r>
      <rPr>
        <sz val="12"/>
        <rFont val="Arial"/>
        <family val="2"/>
      </rPr>
      <t xml:space="preserve">not meeting grade level standards after school.
</t>
    </r>
    <r>
      <rPr>
        <u/>
        <sz val="12"/>
        <rFont val="Arial"/>
        <family val="2"/>
      </rPr>
      <t>Year 2 (Fall only):</t>
    </r>
    <r>
      <rPr>
        <sz val="12"/>
        <rFont val="Arial"/>
        <family val="2"/>
      </rPr>
      <t xml:space="preserve"> 2 teachers x 45 hours x $65/hr = $5,850
</t>
    </r>
    <r>
      <rPr>
        <u/>
        <sz val="12"/>
        <rFont val="Arial"/>
        <family val="2"/>
      </rPr>
      <t xml:space="preserve">Year 3: </t>
    </r>
    <r>
      <rPr>
        <sz val="12"/>
        <rFont val="Arial"/>
        <family val="2"/>
      </rPr>
      <t xml:space="preserve">6 teachers x 90 hours x $69/hr = $37,260
</t>
    </r>
    <r>
      <rPr>
        <u/>
        <sz val="12"/>
        <rFont val="Arial"/>
        <family val="2"/>
      </rPr>
      <t>Years 4-5:</t>
    </r>
    <r>
      <rPr>
        <sz val="12"/>
        <rFont val="Arial"/>
        <family val="2"/>
      </rPr>
      <t xml:space="preserve"> 2 teachers x 90 hours x </t>
    </r>
    <r>
      <rPr>
        <strike/>
        <sz val="12"/>
        <rFont val="Arial"/>
        <family val="2"/>
      </rPr>
      <t>$65/hr</t>
    </r>
    <r>
      <rPr>
        <sz val="12"/>
        <rFont val="Arial"/>
        <family val="2"/>
      </rPr>
      <t xml:space="preserve"> $69/hr = </t>
    </r>
    <r>
      <rPr>
        <strike/>
        <sz val="12"/>
        <rFont val="Arial"/>
        <family val="2"/>
      </rPr>
      <t>$11,700</t>
    </r>
    <r>
      <rPr>
        <sz val="12"/>
        <rFont val="Arial"/>
        <family val="2"/>
      </rPr>
      <t xml:space="preserve"> $12,420</t>
    </r>
  </si>
  <si>
    <r>
      <t xml:space="preserve">Teacher Z time to teach </t>
    </r>
    <r>
      <rPr>
        <b/>
        <sz val="12"/>
        <rFont val="Arial"/>
        <family val="2"/>
      </rPr>
      <t>summer school</t>
    </r>
    <r>
      <rPr>
        <sz val="12"/>
        <rFont val="Arial"/>
        <family val="2"/>
      </rPr>
      <t xml:space="preserve"> outside of regular calendar assignment
</t>
    </r>
    <r>
      <rPr>
        <u/>
        <sz val="12"/>
        <rFont val="Arial"/>
        <family val="2"/>
      </rPr>
      <t>Year 2:</t>
    </r>
    <r>
      <rPr>
        <sz val="12"/>
        <rFont val="Arial"/>
        <family val="2"/>
      </rPr>
      <t xml:space="preserve"> Planning time: 6 teachers x 12 hrs x $65/hr = $4,680
6 teachers x 4 hrs/day x 5 days/wk x 2 weeks x $65/hr = $15,600
</t>
    </r>
    <r>
      <rPr>
        <u/>
        <sz val="12"/>
        <rFont val="Arial"/>
        <family val="2"/>
      </rPr>
      <t xml:space="preserve">Years 3-5: </t>
    </r>
    <r>
      <rPr>
        <sz val="12"/>
        <rFont val="Arial"/>
        <family val="2"/>
      </rPr>
      <t xml:space="preserve">6 teachers x 120 hours x </t>
    </r>
    <r>
      <rPr>
        <strike/>
        <sz val="12"/>
        <rFont val="Arial"/>
        <family val="2"/>
      </rPr>
      <t>$65</t>
    </r>
    <r>
      <rPr>
        <sz val="12"/>
        <rFont val="Arial"/>
        <family val="2"/>
      </rPr>
      <t xml:space="preserve"> $69/hr = </t>
    </r>
    <r>
      <rPr>
        <strike/>
        <sz val="12"/>
        <rFont val="Arial"/>
        <family val="2"/>
      </rPr>
      <t>$46,800</t>
    </r>
    <r>
      <rPr>
        <sz val="12"/>
        <rFont val="Arial"/>
        <family val="2"/>
      </rPr>
      <t xml:space="preserve"> $49,680
Teacher X time to teach the </t>
    </r>
    <r>
      <rPr>
        <b/>
        <sz val="12"/>
        <rFont val="Arial"/>
        <family val="2"/>
      </rPr>
      <t xml:space="preserve">summer bridge </t>
    </r>
    <r>
      <rPr>
        <sz val="12"/>
        <rFont val="Arial"/>
        <family val="2"/>
      </rPr>
      <t xml:space="preserve">program outside of regular calendar assignment
</t>
    </r>
    <r>
      <rPr>
        <u/>
        <sz val="12"/>
        <rFont val="Arial"/>
        <family val="2"/>
      </rPr>
      <t>Year 2:</t>
    </r>
    <r>
      <rPr>
        <sz val="12"/>
        <rFont val="Arial"/>
        <family val="2"/>
      </rPr>
      <t xml:space="preserve">
18 teachers x 1 day x 6 hrs/day x $65/hr = $7,020
</t>
    </r>
    <r>
      <rPr>
        <u/>
        <sz val="12"/>
        <rFont val="Arial"/>
        <family val="2"/>
      </rPr>
      <t>Year 3</t>
    </r>
    <r>
      <rPr>
        <sz val="12"/>
        <rFont val="Arial"/>
        <family val="2"/>
      </rPr>
      <t xml:space="preserve">: 30 teachers x 6 hrs/day x 1 day x $69/hr = $12,420
1 coach 6 hrs/day x 1 day x $69/hr = $414
</t>
    </r>
    <r>
      <rPr>
        <u/>
        <sz val="12"/>
        <rFont val="Arial"/>
        <family val="2"/>
      </rPr>
      <t xml:space="preserve">Years </t>
    </r>
    <r>
      <rPr>
        <strike/>
        <u/>
        <sz val="12"/>
        <rFont val="Arial"/>
        <family val="2"/>
      </rPr>
      <t>3</t>
    </r>
    <r>
      <rPr>
        <u/>
        <sz val="12"/>
        <rFont val="Arial"/>
        <family val="2"/>
      </rPr>
      <t xml:space="preserve"> 4-5: </t>
    </r>
    <r>
      <rPr>
        <sz val="12"/>
        <rFont val="Arial"/>
        <family val="2"/>
      </rPr>
      <t>8 teachers x 20 hours x</t>
    </r>
    <r>
      <rPr>
        <strike/>
        <sz val="12"/>
        <rFont val="Arial"/>
        <family val="2"/>
      </rPr>
      <t xml:space="preserve"> $65</t>
    </r>
    <r>
      <rPr>
        <sz val="12"/>
        <rFont val="Arial"/>
        <family val="2"/>
      </rPr>
      <t xml:space="preserve"> $69/hr = </t>
    </r>
    <r>
      <rPr>
        <strike/>
        <sz val="12"/>
        <rFont val="Arial"/>
        <family val="2"/>
      </rPr>
      <t>$10,400</t>
    </r>
    <r>
      <rPr>
        <sz val="12"/>
        <rFont val="Arial"/>
        <family val="2"/>
      </rPr>
      <t xml:space="preserve"> $11,040</t>
    </r>
  </si>
  <si>
    <r>
      <t xml:space="preserve">Teacher X time to teach the </t>
    </r>
    <r>
      <rPr>
        <b/>
        <sz val="12"/>
        <rFont val="Arial"/>
        <family val="2"/>
      </rPr>
      <t xml:space="preserve">summer school and summer bridge </t>
    </r>
    <r>
      <rPr>
        <sz val="12"/>
        <rFont val="Arial"/>
        <family val="2"/>
      </rPr>
      <t xml:space="preserve">program outside of regular calendar assignment
</t>
    </r>
    <r>
      <rPr>
        <u/>
        <sz val="12"/>
        <rFont val="Arial"/>
        <family val="2"/>
      </rPr>
      <t xml:space="preserve">Year 2: </t>
    </r>
    <r>
      <rPr>
        <sz val="12"/>
        <rFont val="Arial"/>
        <family val="2"/>
      </rPr>
      <t xml:space="preserve">1 counselor x 1 day x 6 hrs/day x $65/hr = $390
June 2018: 1 counselor x 60 hrs x $65/hr = $3,900
Year 3 (July 2018): 1 counselor (summer school) x 60 hrs x </t>
    </r>
    <r>
      <rPr>
        <strike/>
        <sz val="12"/>
        <rFont val="Arial"/>
        <family val="2"/>
      </rPr>
      <t>$65/hr</t>
    </r>
    <r>
      <rPr>
        <sz val="12"/>
        <rFont val="Arial"/>
        <family val="2"/>
      </rPr>
      <t xml:space="preserve"> $69/hr = </t>
    </r>
    <r>
      <rPr>
        <strike/>
        <sz val="12"/>
        <rFont val="Arial"/>
        <family val="2"/>
      </rPr>
      <t>$3,900</t>
    </r>
    <r>
      <rPr>
        <sz val="12"/>
        <rFont val="Arial"/>
        <family val="2"/>
      </rPr>
      <t xml:space="preserve"> $4,140
(August 2018) 1 counselor (summer bridge) x 6 hrs/day x 1 day x $69/hr = $414</t>
    </r>
  </si>
  <si>
    <r>
      <t xml:space="preserve">Teacher X time to teach the </t>
    </r>
    <r>
      <rPr>
        <b/>
        <sz val="12"/>
        <rFont val="Arial"/>
        <family val="2"/>
      </rPr>
      <t xml:space="preserve">summer school and summer bridge </t>
    </r>
    <r>
      <rPr>
        <sz val="12"/>
        <rFont val="Arial"/>
        <family val="2"/>
      </rPr>
      <t xml:space="preserve">program outside of regular calendar assignment
</t>
    </r>
    <r>
      <rPr>
        <u/>
        <sz val="12"/>
        <rFont val="Arial"/>
        <family val="2"/>
      </rPr>
      <t xml:space="preserve">Year 2: </t>
    </r>
    <r>
      <rPr>
        <sz val="12"/>
        <rFont val="Arial"/>
        <family val="2"/>
      </rPr>
      <t xml:space="preserve">1 coordinator x 1 day x 6 hrs/day x $66/hr = $396
June 2018: 1 coordinator x 60 hrs x $66/hr = $3,960
Year 3 (July 2018): 1 coordinator x 60 hrs x </t>
    </r>
    <r>
      <rPr>
        <strike/>
        <sz val="12"/>
        <rFont val="Arial"/>
        <family val="2"/>
      </rPr>
      <t>$66/hr</t>
    </r>
    <r>
      <rPr>
        <sz val="12"/>
        <rFont val="Arial"/>
        <family val="2"/>
      </rPr>
      <t xml:space="preserve"> $69/hr = </t>
    </r>
    <r>
      <rPr>
        <strike/>
        <sz val="12"/>
        <rFont val="Arial"/>
        <family val="2"/>
      </rPr>
      <t>$3,960</t>
    </r>
    <r>
      <rPr>
        <sz val="12"/>
        <rFont val="Arial"/>
        <family val="2"/>
      </rPr>
      <t xml:space="preserve"> $4,140
(August 2018) 1 coordinator (summer bridge) x 6 hrs/day x 1 day x $69/hr = $414</t>
    </r>
  </si>
  <si>
    <r>
      <rPr>
        <b/>
        <sz val="12"/>
        <rFont val="Arial"/>
        <family val="2"/>
      </rPr>
      <t xml:space="preserve">Year 1: Administrator X time </t>
    </r>
    <r>
      <rPr>
        <sz val="12"/>
        <rFont val="Arial"/>
        <family val="2"/>
      </rPr>
      <t>to meet with SIG Planning Committee on Saturdays and to plan SIG activities during implementation years.
1 administrator x 25 hours x $71 = $1,775</t>
    </r>
    <r>
      <rPr>
        <b/>
        <sz val="12"/>
        <rFont val="Arial"/>
        <family val="2"/>
      </rPr>
      <t xml:space="preserve">
</t>
    </r>
    <r>
      <rPr>
        <b/>
        <u/>
        <sz val="12"/>
        <rFont val="Arial"/>
        <family val="2"/>
      </rPr>
      <t>Years 2-5:</t>
    </r>
    <r>
      <rPr>
        <b/>
        <sz val="12"/>
        <rFont val="Arial"/>
        <family val="2"/>
      </rPr>
      <t xml:space="preserve"> Administrator X time</t>
    </r>
    <r>
      <rPr>
        <sz val="12"/>
        <rFont val="Arial"/>
        <family val="2"/>
      </rPr>
      <t xml:space="preserve"> to administer and oversee tutoring, Saturday School, and </t>
    </r>
    <r>
      <rPr>
        <b/>
        <sz val="12"/>
        <rFont val="Arial"/>
        <family val="2"/>
      </rPr>
      <t xml:space="preserve">summer school program </t>
    </r>
    <r>
      <rPr>
        <sz val="12"/>
        <rFont val="Arial"/>
        <family val="2"/>
      </rPr>
      <t xml:space="preserve">outside of regular calendar assignment
1 admin. X 120 hours x </t>
    </r>
    <r>
      <rPr>
        <strike/>
        <sz val="12"/>
        <rFont val="Arial"/>
        <family val="2"/>
      </rPr>
      <t>$71</t>
    </r>
    <r>
      <rPr>
        <sz val="12"/>
        <rFont val="Arial"/>
        <family val="2"/>
      </rPr>
      <t xml:space="preserve"> $64/hr = </t>
    </r>
    <r>
      <rPr>
        <strike/>
        <sz val="12"/>
        <rFont val="Arial"/>
        <family val="2"/>
      </rPr>
      <t>$8,520</t>
    </r>
    <r>
      <rPr>
        <sz val="12"/>
        <rFont val="Arial"/>
        <family val="2"/>
      </rPr>
      <t xml:space="preserve"> $7,680
</t>
    </r>
    <r>
      <rPr>
        <b/>
        <u/>
        <sz val="12"/>
        <rFont val="Arial"/>
        <family val="2"/>
      </rPr>
      <t>Year 2:</t>
    </r>
    <r>
      <rPr>
        <b/>
        <sz val="12"/>
        <rFont val="Arial"/>
        <family val="2"/>
      </rPr>
      <t xml:space="preserve"> Administrator X time</t>
    </r>
    <r>
      <rPr>
        <sz val="12"/>
        <rFont val="Arial"/>
        <family val="2"/>
      </rPr>
      <t xml:space="preserve"> to plan, administer, and oversee tutoring, Saturday School, and summer bridge program outside of regular calendar assignment
Planning time: 1 admin x 60 hrs x $71/hr = $4,260
</t>
    </r>
    <r>
      <rPr>
        <b/>
        <u/>
        <sz val="12"/>
        <rFont val="Arial"/>
        <family val="2"/>
      </rPr>
      <t>Year 3:</t>
    </r>
    <r>
      <rPr>
        <b/>
        <sz val="12"/>
        <rFont val="Arial"/>
        <family val="2"/>
      </rPr>
      <t xml:space="preserve"> Administrator X time </t>
    </r>
    <r>
      <rPr>
        <sz val="12"/>
        <rFont val="Arial"/>
        <family val="2"/>
      </rPr>
      <t xml:space="preserve">to administer and oversee tutoring, Saturday School, and summer bridge program outside of regular calendar assignment
2 admin. X 20 hours x </t>
    </r>
    <r>
      <rPr>
        <strike/>
        <sz val="12"/>
        <rFont val="Arial"/>
        <family val="2"/>
      </rPr>
      <t>$71</t>
    </r>
    <r>
      <rPr>
        <sz val="12"/>
        <rFont val="Arial"/>
        <family val="2"/>
      </rPr>
      <t xml:space="preserve"> $64/hr = </t>
    </r>
    <r>
      <rPr>
        <strike/>
        <sz val="12"/>
        <rFont val="Arial"/>
        <family val="2"/>
      </rPr>
      <t>$2,840</t>
    </r>
    <r>
      <rPr>
        <sz val="12"/>
        <rFont val="Arial"/>
        <family val="2"/>
      </rPr>
      <t xml:space="preserve"> $2,560
</t>
    </r>
    <r>
      <rPr>
        <b/>
        <u/>
        <sz val="12"/>
        <rFont val="Arial"/>
        <family val="2"/>
      </rPr>
      <t xml:space="preserve">Years 4-5: </t>
    </r>
    <r>
      <rPr>
        <b/>
        <sz val="12"/>
        <rFont val="Arial"/>
        <family val="2"/>
      </rPr>
      <t>Administrator X time</t>
    </r>
    <r>
      <rPr>
        <sz val="12"/>
        <rFont val="Arial"/>
        <family val="2"/>
      </rPr>
      <t xml:space="preserve"> to administer and oversee </t>
    </r>
    <r>
      <rPr>
        <b/>
        <sz val="12"/>
        <rFont val="Arial"/>
        <family val="2"/>
      </rPr>
      <t>summer bridge program</t>
    </r>
    <r>
      <rPr>
        <sz val="12"/>
        <rFont val="Arial"/>
        <family val="2"/>
      </rPr>
      <t xml:space="preserve"> outside of regular calendar assignment
1 admin. X 20 hours x </t>
    </r>
    <r>
      <rPr>
        <strike/>
        <sz val="12"/>
        <rFont val="Arial"/>
        <family val="2"/>
      </rPr>
      <t>$71</t>
    </r>
    <r>
      <rPr>
        <sz val="12"/>
        <rFont val="Arial"/>
        <family val="2"/>
      </rPr>
      <t xml:space="preserve"> $64/hr = </t>
    </r>
    <r>
      <rPr>
        <strike/>
        <sz val="12"/>
        <rFont val="Arial"/>
        <family val="2"/>
      </rPr>
      <t>$1,420</t>
    </r>
    <r>
      <rPr>
        <sz val="12"/>
        <rFont val="Arial"/>
        <family val="2"/>
      </rPr>
      <t xml:space="preserve"> $1,280
</t>
    </r>
    <r>
      <rPr>
        <b/>
        <sz val="12"/>
        <rFont val="Arial"/>
        <family val="2"/>
      </rPr>
      <t xml:space="preserve">Year 2: Administrator X time </t>
    </r>
    <r>
      <rPr>
        <sz val="12"/>
        <rFont val="Arial"/>
        <family val="2"/>
      </rPr>
      <t>to plan and oversee SIG activities throughout the year
2 admins x 6 hrs/month x 8 months x $71/hr = $6,816
Year 2: Adminstrator X Time to engage in professional development for Mastery Learning and Grading
1 admin x 12 hrs x $71/hr = $852</t>
    </r>
  </si>
  <si>
    <r>
      <rPr>
        <b/>
        <sz val="12"/>
        <rFont val="Arial"/>
        <family val="2"/>
      </rPr>
      <t>Math and ELA Auxiliary</t>
    </r>
    <r>
      <rPr>
        <sz val="12"/>
        <rFont val="Arial"/>
        <family val="2"/>
      </rPr>
      <t xml:space="preserve"> for intervention to allow for math intervention during the school day to students not meeting grade level standards during the 2016-2017 school year.
Year 2 (Spring 2018 only): 2 teachers x 1 hr/day x 5 days/wk x </t>
    </r>
    <r>
      <rPr>
        <strike/>
        <sz val="12"/>
        <rFont val="Arial"/>
        <family val="2"/>
      </rPr>
      <t>35</t>
    </r>
    <r>
      <rPr>
        <sz val="12"/>
        <rFont val="Arial"/>
        <family val="2"/>
      </rPr>
      <t xml:space="preserve"> 20  weeks x $65/hr = </t>
    </r>
    <r>
      <rPr>
        <strike/>
        <sz val="12"/>
        <rFont val="Arial"/>
        <family val="2"/>
      </rPr>
      <t>$45,500</t>
    </r>
    <r>
      <rPr>
        <sz val="12"/>
        <rFont val="Arial"/>
        <family val="2"/>
      </rPr>
      <t xml:space="preserve"> $13,000
Year 3 (Fall 2018 only): 2 teachers x 1 hr/day x 5 days/wk x 20 weeks x $69/hr = $13,800
Years 4-5: 1 teacher x 1 hr/day x 5 days/wk x 35 weeks x </t>
    </r>
    <r>
      <rPr>
        <strike/>
        <sz val="12"/>
        <rFont val="Arial"/>
        <family val="2"/>
      </rPr>
      <t>$65/hr</t>
    </r>
    <r>
      <rPr>
        <sz val="12"/>
        <rFont val="Arial"/>
        <family val="2"/>
      </rPr>
      <t xml:space="preserve"> $69/hr = </t>
    </r>
    <r>
      <rPr>
        <strike/>
        <sz val="12"/>
        <rFont val="Arial"/>
        <family val="2"/>
      </rPr>
      <t xml:space="preserve">$11,375 </t>
    </r>
    <r>
      <rPr>
        <sz val="12"/>
        <rFont val="Arial"/>
        <family val="2"/>
      </rPr>
      <t>$12,075</t>
    </r>
  </si>
  <si>
    <r>
      <rPr>
        <b/>
        <sz val="12"/>
        <rFont val="Arial"/>
        <family val="2"/>
      </rPr>
      <t>Clerical overtime</t>
    </r>
    <r>
      <rPr>
        <sz val="12"/>
        <rFont val="Arial"/>
        <family val="2"/>
      </rPr>
      <t xml:space="preserve"> to support after school/Saturday School intervention and tutoring, planning, and summer school.
SAA: 302 hours x $41/hr = $12,382
Office Tech: 150 hours x $28/hr = $4200
Year 3: 270 hours x $35/hr (avg SAA/Office Tech/IT Support Tech) = $9,450
Years 4-5: 290 hours x $35/hr (avg SAA/Office Tech/IT Support Tech) = $10,150</t>
    </r>
  </si>
  <si>
    <r>
      <rPr>
        <b/>
        <sz val="12"/>
        <rFont val="Arial"/>
        <family val="2"/>
      </rPr>
      <t>Custodial overtime</t>
    </r>
    <r>
      <rPr>
        <sz val="12"/>
        <rFont val="Arial"/>
        <family val="2"/>
      </rPr>
      <t xml:space="preserve"> to support Saturday school and planning time/PD, and summer school.
Year 2: 1 custodian x 5 hrs/day x 18 weeks x $38/hr = $3,420
Year 3: 1 custodian x 5 hrs/day x 36 weeks x $38/hr = $6,840
Years 4-5: 1 custodian x 5 hrs/day x 36 weeks x $38/hr = $6,840</t>
    </r>
  </si>
  <si>
    <r>
      <rPr>
        <b/>
        <sz val="12"/>
        <rFont val="Arial"/>
        <family val="2"/>
      </rPr>
      <t>Chromebooks</t>
    </r>
    <r>
      <rPr>
        <sz val="12"/>
        <rFont val="Arial"/>
        <family val="2"/>
      </rPr>
      <t xml:space="preserve"> to provide access to online intervention programs (ALEKS and Achieve 3000) during intervention periods, and after school. Access to online Google apps for education applications, instructional applications like Kahoot, and XL Math, collaboration with peers, and feedback from teacher.
</t>
    </r>
    <r>
      <rPr>
        <u/>
        <sz val="12"/>
        <rFont val="Arial"/>
        <family val="2"/>
      </rPr>
      <t>Year 2:</t>
    </r>
    <r>
      <rPr>
        <sz val="12"/>
        <rFont val="Arial"/>
        <family val="2"/>
      </rPr>
      <t xml:space="preserve"> </t>
    </r>
    <r>
      <rPr>
        <strike/>
        <sz val="12"/>
        <rFont val="Arial"/>
        <family val="2"/>
      </rPr>
      <t>252</t>
    </r>
    <r>
      <rPr>
        <sz val="12"/>
        <rFont val="Arial"/>
        <family val="2"/>
      </rPr>
      <t xml:space="preserve"> 289 Chromebook x </t>
    </r>
    <r>
      <rPr>
        <strike/>
        <sz val="12"/>
        <rFont val="Arial"/>
        <family val="2"/>
      </rPr>
      <t>$350</t>
    </r>
    <r>
      <rPr>
        <sz val="12"/>
        <rFont val="Arial"/>
        <family val="2"/>
      </rPr>
      <t xml:space="preserve"> ~$265 each = </t>
    </r>
    <r>
      <rPr>
        <strike/>
        <sz val="12"/>
        <rFont val="Arial"/>
        <family val="2"/>
      </rPr>
      <t>$88,200</t>
    </r>
    <r>
      <rPr>
        <sz val="12"/>
        <rFont val="Arial"/>
        <family val="2"/>
      </rPr>
      <t xml:space="preserve"> $76,585
             </t>
    </r>
    <r>
      <rPr>
        <strike/>
        <sz val="12"/>
        <rFont val="Arial"/>
        <family val="2"/>
      </rPr>
      <t>7</t>
    </r>
    <r>
      <rPr>
        <sz val="12"/>
        <rFont val="Arial"/>
        <family val="2"/>
      </rPr>
      <t xml:space="preserve"> 10 laptop carts x </t>
    </r>
    <r>
      <rPr>
        <strike/>
        <sz val="12"/>
        <rFont val="Arial"/>
        <family val="2"/>
      </rPr>
      <t>$3,000</t>
    </r>
    <r>
      <rPr>
        <sz val="12"/>
        <rFont val="Arial"/>
        <family val="2"/>
      </rPr>
      <t xml:space="preserve"> ~$1,857= </t>
    </r>
    <r>
      <rPr>
        <strike/>
        <sz val="12"/>
        <rFont val="Arial"/>
        <family val="2"/>
      </rPr>
      <t>$21,000</t>
    </r>
    <r>
      <rPr>
        <sz val="12"/>
        <rFont val="Arial"/>
        <family val="2"/>
      </rPr>
      <t xml:space="preserve"> $18,570
Additional: 34 chromebooks x $300/ea = $10,200
                     1 laptop cart x $2,000 = $2,000
                    72 chromebooks x $300/ea = $21,600
                     3 laptop carts x $2,000 = $6,000
</t>
    </r>
    <r>
      <rPr>
        <u/>
        <sz val="12"/>
        <rFont val="Arial"/>
        <family val="2"/>
      </rPr>
      <t>Year 3</t>
    </r>
    <r>
      <rPr>
        <sz val="12"/>
        <rFont val="Arial"/>
        <family val="2"/>
      </rPr>
      <t xml:space="preserve">: </t>
    </r>
    <r>
      <rPr>
        <strike/>
        <sz val="12"/>
        <rFont val="Arial"/>
        <family val="2"/>
      </rPr>
      <t>288</t>
    </r>
    <r>
      <rPr>
        <sz val="12"/>
        <rFont val="Arial"/>
        <family val="2"/>
      </rPr>
      <t xml:space="preserve"> 116 Chromebook x </t>
    </r>
    <r>
      <rPr>
        <strike/>
        <sz val="12"/>
        <rFont val="Arial"/>
        <family val="2"/>
      </rPr>
      <t>$350</t>
    </r>
    <r>
      <rPr>
        <sz val="12"/>
        <rFont val="Arial"/>
        <family val="2"/>
      </rPr>
      <t xml:space="preserve"> $300 each = </t>
    </r>
    <r>
      <rPr>
        <strike/>
        <sz val="12"/>
        <rFont val="Arial"/>
        <family val="2"/>
      </rPr>
      <t>$100,800</t>
    </r>
    <r>
      <rPr>
        <sz val="12"/>
        <rFont val="Arial"/>
        <family val="2"/>
      </rPr>
      <t xml:space="preserve"> $34,800
             </t>
    </r>
    <r>
      <rPr>
        <strike/>
        <sz val="12"/>
        <rFont val="Arial"/>
        <family val="2"/>
      </rPr>
      <t>8</t>
    </r>
    <r>
      <rPr>
        <sz val="12"/>
        <rFont val="Arial"/>
        <family val="2"/>
      </rPr>
      <t xml:space="preserve"> 20 laptop carts x </t>
    </r>
    <r>
      <rPr>
        <strike/>
        <sz val="12"/>
        <rFont val="Arial"/>
        <family val="2"/>
      </rPr>
      <t>$3,000</t>
    </r>
    <r>
      <rPr>
        <sz val="12"/>
        <rFont val="Arial"/>
        <family val="2"/>
      </rPr>
      <t xml:space="preserve"> $2,000 = </t>
    </r>
    <r>
      <rPr>
        <strike/>
        <sz val="12"/>
        <rFont val="Arial"/>
        <family val="2"/>
      </rPr>
      <t>$24,000</t>
    </r>
    <r>
      <rPr>
        <sz val="12"/>
        <rFont val="Arial"/>
        <family val="2"/>
      </rPr>
      <t xml:space="preserve"> $40,000        </t>
    </r>
  </si>
  <si>
    <r>
      <rPr>
        <b/>
        <sz val="12"/>
        <rFont val="Arial"/>
        <family val="2"/>
      </rPr>
      <t>Project Lead the Way Instructional Materials</t>
    </r>
    <r>
      <rPr>
        <sz val="12"/>
        <rFont val="Arial"/>
        <family val="2"/>
      </rPr>
      <t xml:space="preserve"> will be provided to ensure students have access to quality 21st century instructional materials and equipment. These materials may include but not limited to VEX robotic kits, engineering notebooks, measuring instruments, and digital cameras.
Year 2: 12 laptops x $1,538.81/ea = $18,465.72
Year 3: 24 laptops x $1,540/ea = $36,960</t>
    </r>
  </si>
  <si>
    <r>
      <rPr>
        <b/>
        <sz val="12"/>
        <rFont val="Arial"/>
        <family val="2"/>
      </rPr>
      <t xml:space="preserve">Band and Orchestra Instructional Materials </t>
    </r>
    <r>
      <rPr>
        <sz val="12"/>
        <rFont val="Arial"/>
        <family val="2"/>
      </rPr>
      <t xml:space="preserve">to acquire new musical instrument collection and modern music technology on an annual basis in order to provide music enrichment program.
</t>
    </r>
    <r>
      <rPr>
        <u/>
        <sz val="12"/>
        <rFont val="Arial"/>
        <family val="2"/>
      </rPr>
      <t>Year 2:</t>
    </r>
    <r>
      <rPr>
        <sz val="12"/>
        <rFont val="Arial"/>
        <family val="2"/>
      </rPr>
      <t xml:space="preserve">
1 Yamaha YBB-105C Tuba 3 Valve Tuba x $3,687 = 3687
1 Selmer 400 Series Alto Saxophone x $1,319 = $1,319
2 Native Instruments Machine MK2 x $600 each = $1,200
4 1TB WD Elements Portable USB 3.0 Hard Drive x $62 each = $248
10 Samsung 32 GB USB 3.0 Flash Drives x $10 = $100
1 Native Instruments Komplete 10 Ultimate and Kontrol Keyboard S49 Bundle x $1,598 = $1,598
4 Native Instruments Komplete Audio Interfaces x $229  = $916
3 Native Instruments Komplete Kontrol S25 Keyboard x $399 = $1,197
Year 3: $5,000 
Year 4: $5,000
Year 5: $5,000</t>
    </r>
  </si>
  <si>
    <r>
      <rPr>
        <b/>
        <strike/>
        <sz val="12"/>
        <rFont val="Arial"/>
        <family val="2"/>
      </rPr>
      <t>34 desktop</t>
    </r>
    <r>
      <rPr>
        <b/>
        <sz val="12"/>
        <rFont val="Arial"/>
        <family val="2"/>
      </rPr>
      <t xml:space="preserve"> Computers</t>
    </r>
    <r>
      <rPr>
        <sz val="12"/>
        <rFont val="Arial"/>
        <family val="2"/>
      </rPr>
      <t xml:space="preserve"> for the computer lab for students to access digital instructional content, conduct research, access online intervention programs, and learn coding skills
</t>
    </r>
    <r>
      <rPr>
        <strike/>
        <sz val="12"/>
        <rFont val="Arial"/>
        <family val="2"/>
      </rPr>
      <t>34 desktops x $2,000 = $68,000</t>
    </r>
    <r>
      <rPr>
        <sz val="12"/>
        <rFont val="Arial"/>
        <family val="2"/>
      </rPr>
      <t xml:space="preserve">
48 laptops x </t>
    </r>
    <r>
      <rPr>
        <strike/>
        <sz val="12"/>
        <rFont val="Arial"/>
        <family val="2"/>
      </rPr>
      <t>~$1,329</t>
    </r>
    <r>
      <rPr>
        <sz val="12"/>
        <rFont val="Arial"/>
        <family val="2"/>
      </rPr>
      <t xml:space="preserve"> $1,499.02 = </t>
    </r>
    <r>
      <rPr>
        <strike/>
        <sz val="12"/>
        <rFont val="Arial"/>
        <family val="2"/>
      </rPr>
      <t>$63,792</t>
    </r>
    <r>
      <rPr>
        <sz val="12"/>
        <rFont val="Arial"/>
        <family val="2"/>
      </rPr>
      <t xml:space="preserve"> $71,953
5 HP Elite desktops x </t>
    </r>
    <r>
      <rPr>
        <strike/>
        <sz val="12"/>
        <rFont val="Arial"/>
        <family val="2"/>
      </rPr>
      <t>~$1,718</t>
    </r>
    <r>
      <rPr>
        <sz val="12"/>
        <rFont val="Arial"/>
        <family val="2"/>
      </rPr>
      <t xml:space="preserve"> $1,891.40 = </t>
    </r>
    <r>
      <rPr>
        <strike/>
        <sz val="12"/>
        <rFont val="Arial"/>
        <family val="2"/>
      </rPr>
      <t>$8,590</t>
    </r>
    <r>
      <rPr>
        <sz val="12"/>
        <rFont val="Arial"/>
        <family val="2"/>
      </rPr>
      <t xml:space="preserve"> $9,457
5 HP Value Desktops x </t>
    </r>
    <r>
      <rPr>
        <strike/>
        <sz val="12"/>
        <rFont val="Arial"/>
        <family val="2"/>
      </rPr>
      <t>~$927</t>
    </r>
    <r>
      <rPr>
        <sz val="12"/>
        <rFont val="Arial"/>
        <family val="2"/>
      </rPr>
      <t xml:space="preserve"> $1,096.42 = </t>
    </r>
    <r>
      <rPr>
        <strike/>
        <sz val="12"/>
        <rFont val="Arial"/>
        <family val="2"/>
      </rPr>
      <t>$4,635</t>
    </r>
    <r>
      <rPr>
        <sz val="12"/>
        <rFont val="Arial"/>
        <family val="2"/>
      </rPr>
      <t xml:space="preserve"> $5,482
Additional: 4 desktops x</t>
    </r>
    <r>
      <rPr>
        <strike/>
        <sz val="12"/>
        <rFont val="Arial"/>
        <family val="2"/>
      </rPr>
      <t xml:space="preserve"> $889.25/ea</t>
    </r>
    <r>
      <rPr>
        <sz val="12"/>
        <rFont val="Arial"/>
        <family val="2"/>
      </rPr>
      <t xml:space="preserve"> $1,000/ea = </t>
    </r>
    <r>
      <rPr>
        <strike/>
        <sz val="12"/>
        <rFont val="Arial"/>
        <family val="2"/>
      </rPr>
      <t>$3,557</t>
    </r>
    <r>
      <rPr>
        <sz val="12"/>
        <rFont val="Arial"/>
        <family val="2"/>
      </rPr>
      <t xml:space="preserve"> $4,000
Year 3: 4 laptops x $1,500/ea = $6,000
Technology for the multi-purpose center for students to access technology before/after schoool to conduct research, access online intervention programs, and learn coding skills.
12 desktops x $1,000 = $12,000</t>
    </r>
  </si>
  <si>
    <r>
      <t xml:space="preserve">Bus transportation needed to improve students' opportunity to participate in after school and intervention programs, and Saturday School  and summer programs since most students are bussed in.
Summer School (June 2018): $740 x 3 buses x 10 days = $22,200
</t>
    </r>
    <r>
      <rPr>
        <u/>
        <sz val="12"/>
        <rFont val="Arial"/>
        <family val="2"/>
      </rPr>
      <t>Years 3-5:</t>
    </r>
    <r>
      <rPr>
        <sz val="12"/>
        <rFont val="Arial"/>
        <family val="2"/>
      </rPr>
      <t xml:space="preserve"> Summer School (June portion): $740 x 3 buses x 10 days = $22,200
After school tutoring: 2 buses x $370/bus x 34 weeks = $25,160
Saturday School: 3 buses x $370/bus x 4 weeks = $4,440
Summer School (July portion): 3 buses x $740/bus x 10 days = $22,200
(Budgeted in 580012, expensed in 430091)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</si>
</sst>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28" x14ac:knownFonts="1">
    <font>
      <sz val="10"/>
      <color theme="1"/>
      <name val="Consolas"/>
      <family val="2"/>
    </font>
    <font>
      <sz val="11"/>
      <color theme="1"/>
      <name val="Calibri"/>
      <family val="2"/>
      <scheme val="minor"/>
    </font>
    <font>
      <sz val="11"/>
      <color indexed="8"/>
      <name val="Calibri"/>
      <family val="2"/>
    </font>
    <font>
      <b/>
      <sz val="14"/>
      <name val="Arial"/>
      <family val="2"/>
    </font>
    <font>
      <sz val="14"/>
      <name val="Arial"/>
      <family val="2"/>
    </font>
    <font>
      <b/>
      <sz val="12"/>
      <name val="Arial"/>
      <family val="2"/>
    </font>
    <font>
      <sz val="12"/>
      <name val="Arial"/>
      <family val="2"/>
    </font>
    <font>
      <sz val="10"/>
      <color theme="1"/>
      <name val="Consolas"/>
      <family val="2"/>
    </font>
    <font>
      <sz val="11"/>
      <color theme="1"/>
      <name val="Calibri"/>
      <family val="2"/>
      <scheme val="minor"/>
    </font>
    <font>
      <u/>
      <sz val="10"/>
      <color theme="10"/>
      <name val="Arial"/>
      <family val="2"/>
    </font>
    <font>
      <sz val="10"/>
      <color theme="1"/>
      <name val="Arial"/>
      <family val="2"/>
    </font>
    <font>
      <b/>
      <sz val="12"/>
      <color rgb="FF1F497D"/>
      <name val="Calibri"/>
      <family val="2"/>
      <scheme val="minor"/>
    </font>
    <font>
      <b/>
      <sz val="16"/>
      <color theme="0" tint="-0.499984740745262"/>
      <name val="Calibri"/>
      <family val="2"/>
      <scheme val="minor"/>
    </font>
    <font>
      <sz val="11"/>
      <name val="Arial"/>
      <family val="2"/>
    </font>
    <font>
      <sz val="10"/>
      <name val="Arial"/>
      <family val="2"/>
    </font>
    <font>
      <b/>
      <sz val="10"/>
      <name val="Arial"/>
      <family val="2"/>
    </font>
    <font>
      <b/>
      <sz val="16"/>
      <name val="Arial"/>
      <family val="2"/>
    </font>
    <font>
      <b/>
      <sz val="11"/>
      <name val="Arial"/>
      <family val="2"/>
    </font>
    <font>
      <b/>
      <u/>
      <sz val="12"/>
      <name val="Arial"/>
      <family val="2"/>
    </font>
    <font>
      <strike/>
      <sz val="12"/>
      <name val="Arial"/>
      <family val="2"/>
    </font>
    <font>
      <u/>
      <sz val="12"/>
      <name val="Arial"/>
      <family val="2"/>
    </font>
    <font>
      <b/>
      <strike/>
      <sz val="12"/>
      <name val="Arial"/>
      <family val="2"/>
    </font>
    <font>
      <sz val="11"/>
      <name val="Calibri"/>
      <family val="2"/>
      <scheme val="minor"/>
    </font>
    <font>
      <b/>
      <sz val="12"/>
      <name val="Calibri"/>
      <family val="2"/>
    </font>
    <font>
      <sz val="12"/>
      <color rgb="FFFF0000"/>
      <name val="Arial"/>
      <family val="2"/>
    </font>
    <font>
      <u val="singleAccounting"/>
      <sz val="12"/>
      <name val="Arial"/>
      <family val="2"/>
    </font>
    <font>
      <strike/>
      <u/>
      <sz val="12"/>
      <name val="Arial"/>
      <family val="2"/>
    </font>
    <font>
      <sz val="10"/>
      <color indexed="81"/>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s>
  <borders count="43">
    <border>
      <left/>
      <right/>
      <top/>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top/>
      <bottom style="medium">
        <color auto="1"/>
      </bottom>
      <diagonal/>
    </border>
    <border>
      <left style="medium">
        <color auto="1"/>
      </left>
      <right style="thin">
        <color auto="1"/>
      </right>
      <top style="thin">
        <color auto="1"/>
      </top>
      <bottom/>
      <diagonal/>
    </border>
    <border>
      <left/>
      <right style="medium">
        <color auto="1"/>
      </right>
      <top/>
      <bottom style="thin">
        <color auto="1"/>
      </bottom>
      <diagonal/>
    </border>
    <border>
      <left/>
      <right style="medium">
        <color auto="1"/>
      </right>
      <top style="thin">
        <color auto="1"/>
      </top>
      <bottom/>
      <diagonal/>
    </border>
    <border>
      <left style="thin">
        <color auto="1"/>
      </left>
      <right style="medium">
        <color indexed="64"/>
      </right>
      <top style="thin">
        <color auto="1"/>
      </top>
      <bottom/>
      <diagonal/>
    </border>
  </borders>
  <cellStyleXfs count="13">
    <xf numFmtId="0" fontId="0" fillId="0" borderId="0"/>
    <xf numFmtId="44" fontId="7"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0" fontId="9" fillId="0" borderId="0" applyNumberFormat="0" applyFill="0" applyBorder="0" applyAlignment="0" applyProtection="0"/>
    <xf numFmtId="0" fontId="8" fillId="0" borderId="0"/>
    <xf numFmtId="0" fontId="7" fillId="0" borderId="0"/>
    <xf numFmtId="0" fontId="8" fillId="0" borderId="0"/>
    <xf numFmtId="0" fontId="10" fillId="0" borderId="0"/>
    <xf numFmtId="0" fontId="2" fillId="0" borderId="0"/>
    <xf numFmtId="0" fontId="1" fillId="0" borderId="0"/>
    <xf numFmtId="44" fontId="1" fillId="0" borderId="0" applyFont="0" applyFill="0" applyBorder="0" applyAlignment="0" applyProtection="0"/>
    <xf numFmtId="43" fontId="7" fillId="0" borderId="0" applyFont="0" applyFill="0" applyBorder="0" applyAlignment="0" applyProtection="0"/>
  </cellStyleXfs>
  <cellXfs count="204">
    <xf numFmtId="0" fontId="0" fillId="0" borderId="0" xfId="0"/>
    <xf numFmtId="0" fontId="11" fillId="0" borderId="0" xfId="0" applyFont="1"/>
    <xf numFmtId="0" fontId="12" fillId="0" borderId="0" xfId="0" applyFont="1"/>
    <xf numFmtId="0" fontId="6" fillId="0" borderId="3" xfId="10" applyFont="1" applyBorder="1" applyAlignment="1">
      <alignment vertical="center" wrapText="1"/>
    </xf>
    <xf numFmtId="44" fontId="6" fillId="3" borderId="3" xfId="11" applyNumberFormat="1" applyFont="1" applyFill="1" applyBorder="1" applyAlignment="1">
      <alignment horizontal="center" vertical="center" wrapText="1"/>
    </xf>
    <xf numFmtId="44" fontId="6" fillId="0" borderId="3" xfId="11" applyNumberFormat="1" applyFont="1" applyFill="1" applyBorder="1" applyAlignment="1">
      <alignment horizontal="center" vertical="center" wrapText="1"/>
    </xf>
    <xf numFmtId="0" fontId="13" fillId="0" borderId="7" xfId="0" applyFont="1" applyBorder="1" applyAlignment="1">
      <alignment horizontal="center" vertical="center"/>
    </xf>
    <xf numFmtId="0" fontId="14" fillId="0" borderId="8" xfId="0" applyFont="1" applyBorder="1" applyAlignment="1">
      <alignment horizontal="left"/>
    </xf>
    <xf numFmtId="0" fontId="15" fillId="0" borderId="8" xfId="0" applyFont="1" applyBorder="1" applyAlignment="1">
      <alignment horizontal="center"/>
    </xf>
    <xf numFmtId="0" fontId="14" fillId="0" borderId="8" xfId="0" applyFont="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Border="1" applyAlignment="1">
      <alignment horizontal="center" vertical="center"/>
    </xf>
    <xf numFmtId="0" fontId="14" fillId="0" borderId="0" xfId="0" applyFont="1"/>
    <xf numFmtId="0" fontId="13" fillId="0" borderId="10" xfId="0" applyFont="1" applyBorder="1" applyAlignment="1">
      <alignment horizontal="center" vertical="center"/>
    </xf>
    <xf numFmtId="14" fontId="4" fillId="2" borderId="2" xfId="0" applyNumberFormat="1" applyFont="1" applyFill="1" applyBorder="1" applyAlignment="1">
      <alignment horizontal="center" vertical="center" wrapText="1"/>
    </xf>
    <xf numFmtId="0" fontId="14" fillId="0" borderId="0" xfId="0" applyFont="1" applyBorder="1"/>
    <xf numFmtId="0" fontId="16" fillId="4" borderId="4" xfId="0" applyFont="1" applyFill="1" applyBorder="1" applyAlignment="1">
      <alignment horizontal="center" vertical="center"/>
    </xf>
    <xf numFmtId="0" fontId="15" fillId="0" borderId="0" xfId="0" applyFont="1" applyFill="1" applyBorder="1" applyAlignment="1">
      <alignment horizontal="center"/>
    </xf>
    <xf numFmtId="0" fontId="15" fillId="0" borderId="0" xfId="0" applyFont="1" applyFill="1" applyBorder="1" applyAlignment="1">
      <alignment horizontal="center" vertical="center"/>
    </xf>
    <xf numFmtId="0" fontId="15" fillId="0" borderId="11" xfId="0" applyFont="1" applyFill="1" applyBorder="1" applyAlignment="1">
      <alignment horizontal="center" vertical="center"/>
    </xf>
    <xf numFmtId="0" fontId="5" fillId="0" borderId="0" xfId="0" applyFont="1" applyBorder="1" applyAlignment="1">
      <alignment horizontal="center"/>
    </xf>
    <xf numFmtId="0" fontId="5" fillId="0" borderId="11" xfId="0" applyFont="1" applyBorder="1" applyAlignment="1">
      <alignment horizontal="center"/>
    </xf>
    <xf numFmtId="44" fontId="3" fillId="0" borderId="5" xfId="1" applyNumberFormat="1" applyFont="1" applyFill="1" applyBorder="1" applyAlignment="1">
      <alignment horizontal="center" vertical="center"/>
    </xf>
    <xf numFmtId="44" fontId="3" fillId="0" borderId="0" xfId="1" applyFont="1" applyFill="1" applyBorder="1" applyAlignment="1">
      <alignment horizontal="center" vertical="center"/>
    </xf>
    <xf numFmtId="44" fontId="3" fillId="0" borderId="5" xfId="1" applyFont="1" applyFill="1" applyBorder="1" applyAlignment="1">
      <alignment horizontal="center" vertical="center"/>
    </xf>
    <xf numFmtId="0" fontId="17"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6" fillId="0" borderId="0" xfId="0" applyFont="1"/>
    <xf numFmtId="0" fontId="6" fillId="0" borderId="13" xfId="0" applyFont="1" applyFill="1" applyBorder="1" applyAlignment="1">
      <alignment horizontal="center" vertical="center" wrapText="1"/>
    </xf>
    <xf numFmtId="0" fontId="6" fillId="0" borderId="3" xfId="0" applyFont="1" applyFill="1" applyBorder="1" applyAlignment="1">
      <alignment horizontal="center" vertical="center"/>
    </xf>
    <xf numFmtId="44" fontId="6" fillId="3" borderId="3" xfId="0" applyNumberFormat="1" applyFont="1" applyFill="1" applyBorder="1" applyAlignment="1">
      <alignment horizontal="center" vertical="center" wrapText="1"/>
    </xf>
    <xf numFmtId="0" fontId="6" fillId="0" borderId="13" xfId="10" applyFont="1" applyFill="1" applyBorder="1" applyAlignment="1">
      <alignment horizontal="center" vertical="center" wrapText="1"/>
    </xf>
    <xf numFmtId="0" fontId="6" fillId="0" borderId="13" xfId="0" applyFont="1" applyBorder="1" applyAlignment="1">
      <alignment horizontal="center" vertical="center" wrapText="1"/>
    </xf>
    <xf numFmtId="0" fontId="6" fillId="3" borderId="13" xfId="10" applyFont="1" applyFill="1" applyBorder="1" applyAlignment="1">
      <alignment horizontal="center" vertical="center" wrapText="1"/>
    </xf>
    <xf numFmtId="0" fontId="5" fillId="3" borderId="3" xfId="0" applyFont="1" applyFill="1" applyBorder="1" applyAlignment="1">
      <alignment horizontal="right" wrapText="1"/>
    </xf>
    <xf numFmtId="0" fontId="5" fillId="3" borderId="3" xfId="0" applyFont="1" applyFill="1" applyBorder="1" applyAlignment="1">
      <alignment horizontal="center" vertical="center"/>
    </xf>
    <xf numFmtId="44" fontId="6"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3" xfId="10" applyFont="1" applyFill="1" applyBorder="1" applyAlignment="1">
      <alignment vertical="center" wrapText="1"/>
    </xf>
    <xf numFmtId="0" fontId="6" fillId="3" borderId="13" xfId="0" applyFont="1" applyFill="1" applyBorder="1" applyAlignment="1">
      <alignment horizontal="center" vertical="center"/>
    </xf>
    <xf numFmtId="44" fontId="6" fillId="0" borderId="3" xfId="0" applyNumberFormat="1" applyFont="1" applyBorder="1" applyAlignment="1">
      <alignment horizontal="center" vertical="center" wrapText="1"/>
    </xf>
    <xf numFmtId="44" fontId="6" fillId="0" borderId="3" xfId="11" applyNumberFormat="1" applyFont="1" applyBorder="1" applyAlignment="1">
      <alignment horizontal="center" vertical="center" wrapText="1"/>
    </xf>
    <xf numFmtId="0" fontId="6" fillId="0" borderId="13" xfId="10" applyFont="1" applyBorder="1" applyAlignment="1">
      <alignment horizontal="center" vertical="center" wrapText="1"/>
    </xf>
    <xf numFmtId="0" fontId="6" fillId="0" borderId="3" xfId="0" applyFont="1" applyBorder="1" applyAlignment="1">
      <alignment vertical="center" wrapText="1"/>
    </xf>
    <xf numFmtId="44" fontId="6" fillId="0" borderId="3" xfId="1" applyNumberFormat="1" applyFont="1" applyBorder="1" applyAlignment="1">
      <alignment horizontal="center" vertical="center" wrapText="1"/>
    </xf>
    <xf numFmtId="44" fontId="6" fillId="3" borderId="3" xfId="1" applyNumberFormat="1" applyFont="1" applyFill="1" applyBorder="1" applyAlignment="1">
      <alignment horizontal="center" vertical="center" wrapText="1"/>
    </xf>
    <xf numFmtId="44" fontId="6" fillId="0" borderId="3" xfId="1" applyNumberFormat="1" applyFont="1" applyFill="1" applyBorder="1" applyAlignment="1">
      <alignment horizontal="center" vertical="center" wrapText="1"/>
    </xf>
    <xf numFmtId="0" fontId="6" fillId="0" borderId="13" xfId="0" applyFont="1" applyFill="1" applyBorder="1" applyAlignment="1">
      <alignment horizontal="center" vertical="center"/>
    </xf>
    <xf numFmtId="0" fontId="5" fillId="0" borderId="3" xfId="0" applyFont="1" applyFill="1" applyBorder="1" applyAlignment="1">
      <alignment horizontal="right" wrapText="1"/>
    </xf>
    <xf numFmtId="0" fontId="5" fillId="0" borderId="3" xfId="0" applyFont="1" applyFill="1" applyBorder="1" applyAlignment="1">
      <alignment horizontal="center" vertical="center"/>
    </xf>
    <xf numFmtId="44" fontId="6" fillId="0" borderId="3" xfId="0" applyNumberFormat="1" applyFont="1" applyFill="1" applyBorder="1" applyAlignment="1">
      <alignment horizontal="center" vertical="center"/>
    </xf>
    <xf numFmtId="0" fontId="6" fillId="0" borderId="0" xfId="0" applyFont="1" applyFill="1"/>
    <xf numFmtId="0" fontId="6" fillId="0" borderId="13" xfId="0" applyFont="1" applyBorder="1" applyAlignment="1">
      <alignment horizontal="center" vertical="center"/>
    </xf>
    <xf numFmtId="0" fontId="5" fillId="0" borderId="3" xfId="10" applyFont="1" applyBorder="1" applyAlignment="1">
      <alignment horizontal="right" vertical="center" wrapText="1"/>
    </xf>
    <xf numFmtId="44" fontId="6" fillId="0" borderId="3" xfId="0" applyNumberFormat="1" applyFont="1" applyBorder="1" applyAlignment="1">
      <alignment horizontal="center" vertical="center"/>
    </xf>
    <xf numFmtId="0" fontId="6" fillId="5" borderId="12" xfId="0" applyFont="1" applyFill="1" applyBorder="1" applyAlignment="1">
      <alignment horizontal="center" vertical="center"/>
    </xf>
    <xf numFmtId="0" fontId="5" fillId="5" borderId="1" xfId="0" applyFont="1" applyFill="1" applyBorder="1" applyAlignment="1">
      <alignment horizontal="right" wrapText="1"/>
    </xf>
    <xf numFmtId="0" fontId="5" fillId="5" borderId="1" xfId="0" applyFont="1" applyFill="1" applyBorder="1" applyAlignment="1">
      <alignment horizontal="center" vertical="center"/>
    </xf>
    <xf numFmtId="44" fontId="6" fillId="5" borderId="1" xfId="0" applyNumberFormat="1"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wrapText="1"/>
    </xf>
    <xf numFmtId="0" fontId="5" fillId="0" borderId="0" xfId="0" applyFont="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44" fontId="6" fillId="0" borderId="0" xfId="0" applyNumberFormat="1"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xf>
    <xf numFmtId="0" fontId="14" fillId="0" borderId="3" xfId="0" applyFont="1" applyFill="1" applyBorder="1" applyAlignment="1">
      <alignment horizontal="center" vertical="center"/>
    </xf>
    <xf numFmtId="0" fontId="14" fillId="0" borderId="0" xfId="0" applyFont="1" applyFill="1" applyAlignment="1">
      <alignment horizontal="center" vertical="center"/>
    </xf>
    <xf numFmtId="44" fontId="6" fillId="0" borderId="3" xfId="0" applyNumberFormat="1" applyFont="1" applyFill="1" applyBorder="1" applyAlignment="1">
      <alignment horizontal="center" vertical="center" wrapText="1"/>
    </xf>
    <xf numFmtId="0" fontId="6" fillId="0" borderId="3" xfId="0" applyFont="1" applyFill="1" applyBorder="1" applyAlignment="1">
      <alignment vertical="center" wrapText="1"/>
    </xf>
    <xf numFmtId="44" fontId="6" fillId="0" borderId="30" xfId="11" applyNumberFormat="1" applyFont="1" applyFill="1" applyBorder="1" applyAlignment="1">
      <alignment horizontal="center" vertical="center" wrapText="1"/>
    </xf>
    <xf numFmtId="44" fontId="6" fillId="3" borderId="30" xfId="0" applyNumberFormat="1" applyFont="1" applyFill="1" applyBorder="1" applyAlignment="1">
      <alignment horizontal="center" vertical="center"/>
    </xf>
    <xf numFmtId="44" fontId="6" fillId="0" borderId="30" xfId="11" applyNumberFormat="1" applyFont="1" applyBorder="1" applyAlignment="1">
      <alignment horizontal="center" vertical="center" wrapText="1"/>
    </xf>
    <xf numFmtId="44" fontId="6" fillId="0" borderId="30" xfId="1" applyNumberFormat="1" applyFont="1" applyBorder="1" applyAlignment="1">
      <alignment horizontal="center" vertical="center" wrapText="1"/>
    </xf>
    <xf numFmtId="44" fontId="6" fillId="0" borderId="30" xfId="0" applyNumberFormat="1" applyFont="1" applyFill="1" applyBorder="1" applyAlignment="1">
      <alignment horizontal="center" vertical="center"/>
    </xf>
    <xf numFmtId="44" fontId="6" fillId="5" borderId="31" xfId="0" applyNumberFormat="1" applyFont="1" applyFill="1" applyBorder="1" applyAlignment="1">
      <alignment horizontal="center" vertical="center"/>
    </xf>
    <xf numFmtId="0" fontId="3" fillId="2" borderId="5" xfId="0" applyFont="1" applyFill="1" applyBorder="1" applyAlignment="1">
      <alignment horizontal="center" vertical="center" wrapText="1"/>
    </xf>
    <xf numFmtId="0" fontId="3" fillId="0" borderId="11" xfId="0" applyFont="1" applyBorder="1" applyAlignment="1">
      <alignment horizontal="left" vertical="center" wrapText="1"/>
    </xf>
    <xf numFmtId="0" fontId="22" fillId="0" borderId="0" xfId="10" applyFont="1"/>
    <xf numFmtId="0" fontId="5" fillId="0" borderId="3" xfId="10" applyFont="1" applyFill="1" applyBorder="1" applyAlignment="1">
      <alignment vertical="top" wrapText="1"/>
    </xf>
    <xf numFmtId="0" fontId="6" fillId="0" borderId="1" xfId="8" applyFont="1" applyBorder="1" applyAlignment="1">
      <alignment horizontal="center" vertical="center" wrapText="1"/>
    </xf>
    <xf numFmtId="0" fontId="14" fillId="0" borderId="0" xfId="8" applyFont="1"/>
    <xf numFmtId="0" fontId="5" fillId="3" borderId="25" xfId="8" applyFont="1" applyFill="1" applyBorder="1" applyAlignment="1">
      <alignment horizontal="center" vertical="center" wrapText="1"/>
    </xf>
    <xf numFmtId="0" fontId="6" fillId="0" borderId="17" xfId="8" applyFont="1" applyBorder="1" applyAlignment="1">
      <alignment vertical="center" wrapText="1"/>
    </xf>
    <xf numFmtId="0" fontId="6" fillId="0" borderId="16" xfId="8" applyFont="1" applyBorder="1" applyAlignment="1">
      <alignment horizontal="center" vertical="center" wrapText="1"/>
    </xf>
    <xf numFmtId="0" fontId="6" fillId="0" borderId="13" xfId="8" applyFont="1" applyBorder="1" applyAlignment="1">
      <alignment vertical="center" wrapText="1"/>
    </xf>
    <xf numFmtId="0" fontId="6" fillId="0" borderId="3" xfId="8" applyFont="1" applyBorder="1" applyAlignment="1">
      <alignment horizontal="center" vertical="center" wrapText="1"/>
    </xf>
    <xf numFmtId="0" fontId="6" fillId="0" borderId="12" xfId="8" applyFont="1" applyBorder="1" applyAlignment="1">
      <alignment vertical="center" wrapText="1"/>
    </xf>
    <xf numFmtId="0" fontId="14" fillId="0" borderId="0" xfId="8" applyFont="1" applyAlignment="1"/>
    <xf numFmtId="0" fontId="6" fillId="0" borderId="36" xfId="10" applyFont="1" applyBorder="1" applyAlignment="1">
      <alignment vertical="center" wrapText="1"/>
    </xf>
    <xf numFmtId="0" fontId="6" fillId="0" borderId="36" xfId="0" applyFont="1" applyBorder="1" applyAlignment="1">
      <alignment horizontal="center" vertical="center" wrapText="1"/>
    </xf>
    <xf numFmtId="44" fontId="6" fillId="0" borderId="36" xfId="11" applyNumberFormat="1" applyFont="1" applyBorder="1" applyAlignment="1">
      <alignment horizontal="center" vertical="center" wrapText="1"/>
    </xf>
    <xf numFmtId="0" fontId="6" fillId="0" borderId="24" xfId="10" applyFont="1" applyBorder="1" applyAlignment="1">
      <alignment vertical="center" wrapText="1"/>
    </xf>
    <xf numFmtId="0" fontId="6" fillId="0" borderId="24" xfId="0" applyFont="1" applyBorder="1" applyAlignment="1">
      <alignment horizontal="center" vertical="center" wrapText="1"/>
    </xf>
    <xf numFmtId="44" fontId="6" fillId="0" borderId="24" xfId="11" applyNumberFormat="1" applyFont="1" applyBorder="1" applyAlignment="1">
      <alignment horizontal="center" vertical="center" wrapText="1"/>
    </xf>
    <xf numFmtId="0" fontId="5" fillId="2" borderId="5" xfId="0" applyFont="1" applyFill="1" applyBorder="1" applyAlignment="1">
      <alignment horizontal="center" vertical="center" wrapText="1"/>
    </xf>
    <xf numFmtId="43" fontId="6" fillId="0" borderId="0" xfId="12" applyFont="1" applyAlignment="1">
      <alignment horizontal="center" vertical="center"/>
    </xf>
    <xf numFmtId="43" fontId="25" fillId="0" borderId="0" xfId="12" applyFont="1" applyAlignment="1">
      <alignment horizontal="center" vertical="center"/>
    </xf>
    <xf numFmtId="43" fontId="6" fillId="0" borderId="0" xfId="0" applyNumberFormat="1" applyFont="1" applyAlignment="1">
      <alignment horizontal="center" vertical="center"/>
    </xf>
    <xf numFmtId="44" fontId="6" fillId="0" borderId="40" xfId="11" applyNumberFormat="1" applyFont="1" applyFill="1" applyBorder="1" applyAlignment="1">
      <alignment horizontal="center" vertical="center" wrapText="1"/>
    </xf>
    <xf numFmtId="0" fontId="6" fillId="0" borderId="36" xfId="10" applyFont="1" applyFill="1" applyBorder="1" applyAlignment="1">
      <alignment vertical="center" wrapText="1"/>
    </xf>
    <xf numFmtId="0" fontId="6" fillId="0" borderId="34" xfId="10" applyFont="1" applyFill="1" applyBorder="1" applyAlignment="1">
      <alignment vertical="center" wrapText="1"/>
    </xf>
    <xf numFmtId="44" fontId="6" fillId="0" borderId="11" xfId="11" applyNumberFormat="1" applyFont="1" applyFill="1" applyBorder="1" applyAlignment="1">
      <alignment horizontal="center" vertical="center" wrapText="1"/>
    </xf>
    <xf numFmtId="0" fontId="6" fillId="0" borderId="24" xfId="10" applyFont="1" applyBorder="1" applyAlignment="1">
      <alignment vertical="top" wrapText="1"/>
    </xf>
    <xf numFmtId="0" fontId="6" fillId="0" borderId="34" xfId="10" applyFont="1" applyBorder="1" applyAlignment="1">
      <alignment vertical="center" wrapText="1"/>
    </xf>
    <xf numFmtId="0" fontId="6" fillId="0" borderId="34" xfId="0" applyFont="1" applyBorder="1" applyAlignment="1">
      <alignment horizontal="center" vertical="center" wrapText="1"/>
    </xf>
    <xf numFmtId="44" fontId="6" fillId="0" borderId="34" xfId="11" applyNumberFormat="1" applyFont="1" applyBorder="1" applyAlignment="1">
      <alignment horizontal="center" vertical="center" wrapText="1"/>
    </xf>
    <xf numFmtId="0" fontId="6" fillId="0" borderId="0" xfId="0" applyFont="1" applyAlignment="1">
      <alignment horizontal="right" vertical="center"/>
    </xf>
    <xf numFmtId="0" fontId="14" fillId="0" borderId="0" xfId="0" applyFont="1" applyAlignment="1">
      <alignment horizontal="right" vertical="center"/>
    </xf>
    <xf numFmtId="0" fontId="6" fillId="0" borderId="3" xfId="0" applyFont="1" applyBorder="1" applyAlignment="1">
      <alignment vertical="top" wrapText="1"/>
    </xf>
    <xf numFmtId="0" fontId="6" fillId="0" borderId="24" xfId="0" applyFont="1" applyBorder="1" applyAlignment="1">
      <alignment horizontal="center" vertical="center"/>
    </xf>
    <xf numFmtId="44" fontId="6" fillId="0" borderId="41" xfId="11" applyNumberFormat="1" applyFont="1" applyBorder="1" applyAlignment="1">
      <alignment horizontal="center" vertical="center" wrapText="1"/>
    </xf>
    <xf numFmtId="0" fontId="6" fillId="0" borderId="34" xfId="0" applyFont="1" applyBorder="1" applyAlignment="1">
      <alignment horizontal="center" vertical="center"/>
    </xf>
    <xf numFmtId="44" fontId="6" fillId="0" borderId="11" xfId="11" applyNumberFormat="1" applyFont="1" applyBorder="1" applyAlignment="1">
      <alignment horizontal="center" vertical="center" wrapText="1"/>
    </xf>
    <xf numFmtId="44" fontId="6" fillId="5" borderId="3" xfId="0" applyNumberFormat="1" applyFont="1" applyFill="1" applyBorder="1" applyAlignment="1">
      <alignment horizontal="center" vertical="center"/>
    </xf>
    <xf numFmtId="0" fontId="6" fillId="0" borderId="36" xfId="10" applyFont="1" applyBorder="1" applyAlignment="1">
      <alignment vertical="top" wrapText="1"/>
    </xf>
    <xf numFmtId="0" fontId="5" fillId="0" borderId="3" xfId="10" applyFont="1" applyFill="1" applyBorder="1" applyAlignment="1">
      <alignment vertical="center" wrapText="1"/>
    </xf>
    <xf numFmtId="0" fontId="6" fillId="0" borderId="3" xfId="10" applyFont="1" applyFill="1" applyBorder="1" applyAlignment="1">
      <alignment vertical="top" wrapText="1"/>
    </xf>
    <xf numFmtId="0" fontId="6" fillId="0" borderId="36" xfId="10" applyFont="1" applyFill="1" applyBorder="1" applyAlignment="1">
      <alignment vertical="top" wrapText="1"/>
    </xf>
    <xf numFmtId="0" fontId="5" fillId="0" borderId="38" xfId="0" applyFont="1" applyBorder="1" applyAlignment="1">
      <alignment horizontal="center"/>
    </xf>
    <xf numFmtId="43" fontId="6" fillId="0" borderId="0" xfId="12" applyFont="1" applyFill="1" applyAlignment="1">
      <alignment horizontal="center" vertical="center"/>
    </xf>
    <xf numFmtId="43" fontId="25" fillId="0" borderId="0" xfId="12" applyFont="1" applyFill="1" applyAlignment="1">
      <alignment horizontal="center" vertical="center"/>
    </xf>
    <xf numFmtId="43" fontId="14" fillId="0" borderId="0" xfId="12" applyFont="1" applyFill="1" applyAlignment="1">
      <alignment horizontal="center" vertical="center"/>
    </xf>
    <xf numFmtId="43" fontId="6" fillId="0" borderId="0" xfId="0" applyNumberFormat="1" applyFont="1"/>
    <xf numFmtId="44" fontId="6" fillId="0" borderId="25" xfId="11" applyNumberFormat="1" applyFont="1" applyFill="1" applyBorder="1" applyAlignment="1">
      <alignment horizontal="center" vertical="center" wrapText="1"/>
    </xf>
    <xf numFmtId="44" fontId="6" fillId="0" borderId="34" xfId="11" applyNumberFormat="1" applyFont="1" applyFill="1" applyBorder="1" applyAlignment="1">
      <alignment horizontal="center" vertical="center" wrapText="1"/>
    </xf>
    <xf numFmtId="44" fontId="6" fillId="0" borderId="24" xfId="11" applyNumberFormat="1" applyFont="1" applyFill="1" applyBorder="1" applyAlignment="1">
      <alignment horizontal="center" vertical="center" wrapText="1"/>
    </xf>
    <xf numFmtId="44" fontId="6" fillId="0" borderId="36" xfId="11" applyNumberFormat="1" applyFont="1" applyFill="1" applyBorder="1" applyAlignment="1">
      <alignment horizontal="center" vertical="center" wrapText="1"/>
    </xf>
    <xf numFmtId="0" fontId="3" fillId="0" borderId="0" xfId="0" applyFont="1" applyBorder="1" applyAlignment="1">
      <alignment horizontal="left" vertical="center" wrapText="1"/>
    </xf>
    <xf numFmtId="0" fontId="6" fillId="0" borderId="35" xfId="0" applyFont="1" applyFill="1" applyBorder="1" applyAlignment="1">
      <alignment horizontal="center" vertical="center" wrapText="1"/>
    </xf>
    <xf numFmtId="0" fontId="6" fillId="0" borderId="34" xfId="0" applyFont="1" applyFill="1" applyBorder="1" applyAlignment="1">
      <alignment horizontal="center" vertical="center"/>
    </xf>
    <xf numFmtId="44" fontId="6" fillId="3" borderId="34" xfId="0" applyNumberFormat="1" applyFont="1" applyFill="1" applyBorder="1" applyAlignment="1">
      <alignment horizontal="center" vertical="center" wrapText="1"/>
    </xf>
    <xf numFmtId="44" fontId="6" fillId="3" borderId="36"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36" xfId="0" applyFont="1" applyFill="1" applyBorder="1" applyAlignment="1">
      <alignment horizontal="center" vertical="center"/>
    </xf>
    <xf numFmtId="44" fontId="6" fillId="3" borderId="24" xfId="0" applyNumberFormat="1" applyFont="1" applyFill="1" applyBorder="1" applyAlignment="1">
      <alignment horizontal="center" vertical="center" wrapText="1"/>
    </xf>
    <xf numFmtId="44" fontId="6" fillId="3" borderId="14" xfId="0" applyNumberFormat="1" applyFont="1" applyFill="1" applyBorder="1" applyAlignment="1">
      <alignment horizontal="center" vertical="center"/>
    </xf>
    <xf numFmtId="44" fontId="6" fillId="0" borderId="41" xfId="11" applyNumberFormat="1" applyFont="1" applyFill="1" applyBorder="1" applyAlignment="1">
      <alignment horizontal="center" vertical="center" wrapText="1"/>
    </xf>
    <xf numFmtId="44" fontId="6" fillId="0" borderId="14" xfId="11" applyNumberFormat="1" applyFont="1" applyFill="1" applyBorder="1" applyAlignment="1">
      <alignment horizontal="center" vertical="center" wrapText="1"/>
    </xf>
    <xf numFmtId="44" fontId="6" fillId="0" borderId="42" xfId="11" applyNumberFormat="1" applyFont="1" applyFill="1" applyBorder="1" applyAlignment="1">
      <alignment horizontal="center" vertical="center" wrapText="1"/>
    </xf>
    <xf numFmtId="0" fontId="6" fillId="0" borderId="3" xfId="7" applyFont="1" applyFill="1" applyBorder="1" applyAlignment="1">
      <alignment vertical="center" wrapText="1"/>
    </xf>
    <xf numFmtId="44" fontId="6" fillId="0" borderId="14" xfId="1" applyNumberFormat="1" applyFont="1" applyFill="1" applyBorder="1" applyAlignment="1">
      <alignment horizontal="center" vertical="center" wrapText="1"/>
    </xf>
    <xf numFmtId="44" fontId="6" fillId="0" borderId="30" xfId="1" applyNumberFormat="1" applyFont="1" applyFill="1" applyBorder="1" applyAlignment="1">
      <alignment horizontal="center" vertical="center" wrapText="1"/>
    </xf>
    <xf numFmtId="43" fontId="6" fillId="0" borderId="3" xfId="12" applyFont="1" applyFill="1" applyBorder="1" applyAlignment="1">
      <alignment horizontal="center" vertical="center"/>
    </xf>
    <xf numFmtId="43" fontId="6" fillId="0" borderId="3" xfId="0" applyNumberFormat="1" applyFont="1" applyFill="1" applyBorder="1" applyAlignment="1">
      <alignment horizontal="center" vertical="center"/>
    </xf>
    <xf numFmtId="0" fontId="6" fillId="0" borderId="27" xfId="8" applyFont="1" applyBorder="1" applyAlignment="1">
      <alignment horizontal="left" vertical="center" wrapText="1"/>
    </xf>
    <xf numFmtId="0" fontId="6" fillId="0" borderId="28" xfId="8" applyFont="1" applyBorder="1" applyAlignment="1">
      <alignment horizontal="left" vertical="center" wrapText="1"/>
    </xf>
    <xf numFmtId="0" fontId="6" fillId="0" borderId="29" xfId="8" applyFont="1" applyBorder="1" applyAlignment="1">
      <alignment horizontal="left" vertical="center" wrapText="1"/>
    </xf>
    <xf numFmtId="0" fontId="5" fillId="0" borderId="0" xfId="8" applyFont="1" applyBorder="1" applyAlignment="1">
      <alignment horizontal="center"/>
    </xf>
    <xf numFmtId="0" fontId="5" fillId="0" borderId="21" xfId="8" applyFont="1" applyBorder="1" applyAlignment="1">
      <alignment horizontal="left" vertical="center"/>
    </xf>
    <xf numFmtId="0" fontId="5" fillId="0" borderId="22" xfId="8" applyFont="1" applyBorder="1" applyAlignment="1">
      <alignment horizontal="left" vertical="center"/>
    </xf>
    <xf numFmtId="0" fontId="5" fillId="0" borderId="23" xfId="8" applyFont="1" applyBorder="1" applyAlignment="1">
      <alignment horizontal="left" vertical="center"/>
    </xf>
    <xf numFmtId="0" fontId="5" fillId="0" borderId="3" xfId="8" applyFont="1" applyBorder="1" applyAlignment="1">
      <alignment vertical="center"/>
    </xf>
    <xf numFmtId="0" fontId="6" fillId="0" borderId="3" xfId="8" applyFont="1" applyBorder="1" applyAlignment="1">
      <alignment vertical="center"/>
    </xf>
    <xf numFmtId="0" fontId="5" fillId="0" borderId="24" xfId="8" applyFont="1" applyBorder="1" applyAlignment="1">
      <alignment horizontal="left" vertical="center"/>
    </xf>
    <xf numFmtId="0" fontId="14" fillId="0" borderId="24" xfId="8" applyFont="1" applyBorder="1" applyAlignment="1">
      <alignment vertical="center"/>
    </xf>
    <xf numFmtId="0" fontId="5" fillId="3" borderId="25" xfId="8" applyFont="1" applyFill="1" applyBorder="1" applyAlignment="1">
      <alignment horizontal="center" vertical="center" wrapText="1"/>
    </xf>
    <xf numFmtId="0" fontId="5" fillId="3" borderId="26" xfId="8" applyFont="1" applyFill="1" applyBorder="1" applyAlignment="1">
      <alignment horizontal="center" vertical="center" wrapText="1"/>
    </xf>
    <xf numFmtId="0" fontId="6" fillId="0" borderId="1" xfId="8" applyFont="1" applyBorder="1" applyAlignment="1">
      <alignment horizontal="left" vertical="center" wrapText="1"/>
    </xf>
    <xf numFmtId="0" fontId="6" fillId="0" borderId="15" xfId="8" applyFont="1" applyBorder="1" applyAlignment="1">
      <alignment horizontal="left" vertical="center" wrapText="1"/>
    </xf>
    <xf numFmtId="0" fontId="6" fillId="0" borderId="21" xfId="8" applyFont="1" applyBorder="1" applyAlignment="1">
      <alignment horizontal="left" vertical="center" wrapText="1"/>
    </xf>
    <xf numFmtId="0" fontId="6" fillId="0" borderId="22" xfId="8" applyFont="1" applyBorder="1" applyAlignment="1">
      <alignment horizontal="left" vertical="center" wrapText="1"/>
    </xf>
    <xf numFmtId="0" fontId="6" fillId="0" borderId="30" xfId="8" applyFont="1" applyBorder="1" applyAlignment="1">
      <alignment horizontal="left" vertical="center" wrapText="1"/>
    </xf>
    <xf numFmtId="0" fontId="6" fillId="0" borderId="3" xfId="8" applyFont="1" applyBorder="1" applyAlignment="1">
      <alignment horizontal="left" vertical="center" wrapText="1"/>
    </xf>
    <xf numFmtId="0" fontId="6" fillId="0" borderId="14" xfId="8" applyFont="1" applyBorder="1" applyAlignment="1">
      <alignment horizontal="left" vertical="center" wrapText="1"/>
    </xf>
    <xf numFmtId="0" fontId="14" fillId="0" borderId="22" xfId="8" applyFont="1" applyBorder="1" applyAlignment="1">
      <alignment horizontal="left" vertical="center" wrapText="1"/>
    </xf>
    <xf numFmtId="0" fontId="14" fillId="0" borderId="30" xfId="8" applyFont="1" applyBorder="1" applyAlignment="1">
      <alignment horizontal="left" vertical="center" wrapText="1"/>
    </xf>
    <xf numFmtId="0" fontId="6" fillId="0" borderId="39" xfId="10" applyFont="1" applyBorder="1" applyAlignment="1">
      <alignment horizontal="center" vertical="center" wrapText="1"/>
    </xf>
    <xf numFmtId="0" fontId="6" fillId="0" borderId="35" xfId="10" applyFont="1" applyBorder="1" applyAlignment="1">
      <alignment horizontal="center" vertical="center" wrapText="1"/>
    </xf>
    <xf numFmtId="44" fontId="6" fillId="0" borderId="24" xfId="11" applyNumberFormat="1" applyFont="1" applyFill="1" applyBorder="1" applyAlignment="1">
      <alignment horizontal="center" vertical="center" wrapText="1"/>
    </xf>
    <xf numFmtId="44" fontId="6" fillId="0" borderId="36" xfId="11" applyNumberFormat="1" applyFont="1" applyFill="1" applyBorder="1" applyAlignment="1">
      <alignment horizontal="center" vertical="center" wrapText="1"/>
    </xf>
    <xf numFmtId="44" fontId="6" fillId="3" borderId="24" xfId="0" applyNumberFormat="1" applyFont="1" applyFill="1" applyBorder="1" applyAlignment="1">
      <alignment horizontal="center" vertical="center" wrapText="1"/>
    </xf>
    <xf numFmtId="44" fontId="6" fillId="3" borderId="36" xfId="0" applyNumberFormat="1" applyFont="1" applyFill="1" applyBorder="1" applyAlignment="1">
      <alignment horizontal="center" vertical="center" wrapText="1"/>
    </xf>
    <xf numFmtId="44" fontId="6" fillId="0" borderId="42" xfId="11" applyNumberFormat="1" applyFont="1" applyFill="1" applyBorder="1" applyAlignment="1">
      <alignment horizontal="center" vertical="center" wrapText="1"/>
    </xf>
    <xf numFmtId="44" fontId="6" fillId="0" borderId="37" xfId="11" applyNumberFormat="1" applyFont="1" applyFill="1" applyBorder="1" applyAlignment="1">
      <alignment horizontal="center" vertical="center" wrapText="1"/>
    </xf>
    <xf numFmtId="0" fontId="6" fillId="0" borderId="33" xfId="10" applyFont="1" applyBorder="1" applyAlignment="1">
      <alignment horizontal="center" vertical="center" wrapText="1"/>
    </xf>
    <xf numFmtId="0" fontId="6" fillId="0" borderId="25" xfId="10" applyFont="1" applyBorder="1" applyAlignment="1">
      <alignment horizontal="left" vertical="center" wrapText="1"/>
    </xf>
    <xf numFmtId="0" fontId="6" fillId="0" borderId="34" xfId="10" applyFont="1" applyBorder="1" applyAlignment="1">
      <alignment horizontal="left" vertical="center" wrapText="1"/>
    </xf>
    <xf numFmtId="44" fontId="6" fillId="0" borderId="25" xfId="11" applyNumberFormat="1" applyFont="1" applyFill="1" applyBorder="1" applyAlignment="1">
      <alignment horizontal="center" vertical="center" wrapText="1"/>
    </xf>
    <xf numFmtId="44" fontId="6" fillId="0" borderId="34" xfId="11" applyNumberFormat="1" applyFont="1" applyFill="1" applyBorder="1" applyAlignment="1">
      <alignment horizontal="center" vertical="center" wrapText="1"/>
    </xf>
    <xf numFmtId="44" fontId="6" fillId="0" borderId="9" xfId="11" applyNumberFormat="1" applyFont="1" applyFill="1" applyBorder="1" applyAlignment="1">
      <alignment horizontal="center" vertical="center" wrapText="1"/>
    </xf>
    <xf numFmtId="44" fontId="6" fillId="0" borderId="11" xfId="11" applyNumberFormat="1" applyFont="1" applyFill="1" applyBorder="1" applyAlignment="1">
      <alignment horizontal="center" vertical="center" wrapText="1"/>
    </xf>
    <xf numFmtId="44" fontId="6" fillId="3" borderId="25" xfId="0" applyNumberFormat="1" applyFont="1" applyFill="1" applyBorder="1" applyAlignment="1">
      <alignment horizontal="center" vertical="center" wrapText="1"/>
    </xf>
    <xf numFmtId="44" fontId="6" fillId="3" borderId="34" xfId="0" applyNumberFormat="1"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24" xfId="10" applyFont="1" applyBorder="1" applyAlignment="1">
      <alignment horizontal="left" vertical="top" wrapText="1"/>
    </xf>
    <xf numFmtId="0" fontId="6" fillId="0" borderId="36" xfId="10" applyFont="1" applyBorder="1" applyAlignment="1">
      <alignment horizontal="left" vertical="top" wrapText="1"/>
    </xf>
    <xf numFmtId="0" fontId="6" fillId="0" borderId="24" xfId="0" applyFont="1" applyFill="1" applyBorder="1" applyAlignment="1">
      <alignment horizontal="center" vertical="center"/>
    </xf>
    <xf numFmtId="0" fontId="6" fillId="0" borderId="36" xfId="0" applyFont="1" applyFill="1" applyBorder="1" applyAlignment="1">
      <alignment horizontal="center" vertical="center"/>
    </xf>
    <xf numFmtId="0" fontId="3" fillId="0" borderId="0" xfId="0" applyFont="1" applyBorder="1" applyAlignment="1">
      <alignment horizontal="left" vertical="center" wrapText="1"/>
    </xf>
    <xf numFmtId="0" fontId="3" fillId="2" borderId="4" xfId="0" applyFont="1" applyFill="1" applyBorder="1" applyAlignment="1">
      <alignment horizontal="center" vertical="center"/>
    </xf>
    <xf numFmtId="0" fontId="15" fillId="2" borderId="6" xfId="0" applyFont="1" applyFill="1" applyBorder="1" applyAlignment="1">
      <alignment horizontal="center"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6" fillId="0" borderId="32" xfId="0" applyFont="1" applyFill="1" applyBorder="1" applyAlignment="1">
      <alignment horizontal="center" vertical="center" wrapText="1"/>
    </xf>
    <xf numFmtId="0" fontId="6" fillId="0" borderId="25" xfId="0" applyFont="1" applyFill="1" applyBorder="1" applyAlignment="1">
      <alignment horizontal="center" vertical="center"/>
    </xf>
    <xf numFmtId="0" fontId="6" fillId="0" borderId="34" xfId="0" applyFont="1" applyFill="1" applyBorder="1" applyAlignment="1">
      <alignment horizontal="center" vertical="center"/>
    </xf>
  </cellXfs>
  <cellStyles count="13">
    <cellStyle name="Comma" xfId="12" builtinId="3"/>
    <cellStyle name="Currency" xfId="1" builtinId="4"/>
    <cellStyle name="Currency 2" xfId="2"/>
    <cellStyle name="Currency 2 2" xfId="11"/>
    <cellStyle name="Currency 3" xfId="3"/>
    <cellStyle name="Hyperlink 2" xfId="4"/>
    <cellStyle name="Normal" xfId="0" builtinId="0"/>
    <cellStyle name="Normal 2" xfId="5"/>
    <cellStyle name="Normal 2 2" xfId="6"/>
    <cellStyle name="Normal 2 3" xfId="9"/>
    <cellStyle name="Normal 2 4" xfId="10"/>
    <cellStyle name="Normal 3" xfId="7"/>
    <cellStyle name="Normal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Drop" dropLines="56" dropStyle="combo" dx="16" fmlaRange="'[1]DATA Fields'!$A$1:$A$4" sel="0" val="0"/>
</file>

<file path=xl/ctrlProps/ctrlProp10.xml><?xml version="1.0" encoding="utf-8"?>
<formControlPr xmlns="http://schemas.microsoft.com/office/spreadsheetml/2009/9/main" objectType="Drop" dropLines="56" dropStyle="combo" dx="16" fmlaRange="'[1]DATA Fields'!$A$1:$A$4" sel="0" val="0"/>
</file>

<file path=xl/ctrlProps/ctrlProp11.xml><?xml version="1.0" encoding="utf-8"?>
<formControlPr xmlns="http://schemas.microsoft.com/office/spreadsheetml/2009/9/main" objectType="Drop" dropLines="56" dropStyle="combo" dx="16" fmlaRange="'[1]DATA Fields'!$A$1:$A$4" sel="0" val="0"/>
</file>

<file path=xl/ctrlProps/ctrlProp12.xml><?xml version="1.0" encoding="utf-8"?>
<formControlPr xmlns="http://schemas.microsoft.com/office/spreadsheetml/2009/9/main" objectType="Drop" dropLines="56" dropStyle="combo" dx="16" fmlaRange="'[1]DATA Fields'!$A$1:$A$4" sel="0" val="0"/>
</file>

<file path=xl/ctrlProps/ctrlProp13.xml><?xml version="1.0" encoding="utf-8"?>
<formControlPr xmlns="http://schemas.microsoft.com/office/spreadsheetml/2009/9/main" objectType="Drop" dropLines="56" dropStyle="combo" dx="16" fmlaRange="'[1]DATA Fields'!$A$1:$A$4" sel="0" val="0"/>
</file>

<file path=xl/ctrlProps/ctrlProp14.xml><?xml version="1.0" encoding="utf-8"?>
<formControlPr xmlns="http://schemas.microsoft.com/office/spreadsheetml/2009/9/main" objectType="Drop" dropLines="56" dropStyle="combo" dx="16" fmlaRange="'[1]DATA Fields'!$A$1:$A$4" sel="0" val="0"/>
</file>

<file path=xl/ctrlProps/ctrlProp15.xml><?xml version="1.0" encoding="utf-8"?>
<formControlPr xmlns="http://schemas.microsoft.com/office/spreadsheetml/2009/9/main" objectType="Drop" dropLines="56" dropStyle="combo" dx="16" fmlaRange="'[1]DATA Fields'!$A$1:$A$4" sel="0" val="0"/>
</file>

<file path=xl/ctrlProps/ctrlProp16.xml><?xml version="1.0" encoding="utf-8"?>
<formControlPr xmlns="http://schemas.microsoft.com/office/spreadsheetml/2009/9/main" objectType="Drop" dropLines="56" dropStyle="combo" dx="16" fmlaRange="'[1]DATA Fields'!$A$1:$A$4" sel="0" val="0"/>
</file>

<file path=xl/ctrlProps/ctrlProp17.xml><?xml version="1.0" encoding="utf-8"?>
<formControlPr xmlns="http://schemas.microsoft.com/office/spreadsheetml/2009/9/main" objectType="Drop" dropLines="56" dropStyle="combo" dx="16" fmlaRange="'[1]DATA Fields'!$A$1:$A$4" sel="0" val="0"/>
</file>

<file path=xl/ctrlProps/ctrlProp2.xml><?xml version="1.0" encoding="utf-8"?>
<formControlPr xmlns="http://schemas.microsoft.com/office/spreadsheetml/2009/9/main" objectType="Drop" dropLines="56" dropStyle="combo" dx="16" fmlaRange="'[1]DATA Fields'!$A$1:$A$4" sel="0" val="0"/>
</file>

<file path=xl/ctrlProps/ctrlProp3.xml><?xml version="1.0" encoding="utf-8"?>
<formControlPr xmlns="http://schemas.microsoft.com/office/spreadsheetml/2009/9/main" objectType="Drop" dropLines="56" dropStyle="combo" dx="16" fmlaRange="'[1]DATA Fields'!$A$1:$A$4" sel="0" val="0"/>
</file>

<file path=xl/ctrlProps/ctrlProp4.xml><?xml version="1.0" encoding="utf-8"?>
<formControlPr xmlns="http://schemas.microsoft.com/office/spreadsheetml/2009/9/main" objectType="Drop" dropLines="56" dropStyle="combo" dx="16" fmlaRange="'[1]DATA Fields'!$A$1:$A$4" sel="0" val="0"/>
</file>

<file path=xl/ctrlProps/ctrlProp5.xml><?xml version="1.0" encoding="utf-8"?>
<formControlPr xmlns="http://schemas.microsoft.com/office/spreadsheetml/2009/9/main" objectType="Drop" dropLines="56" dropStyle="combo" dx="16" fmlaRange="'[1]DATA Fields'!$A$1:$A$4" sel="0" val="0"/>
</file>

<file path=xl/ctrlProps/ctrlProp6.xml><?xml version="1.0" encoding="utf-8"?>
<formControlPr xmlns="http://schemas.microsoft.com/office/spreadsheetml/2009/9/main" objectType="Drop" dropLines="56" dropStyle="combo" dx="16" fmlaRange="'[1]DATA Fields'!$A$1:$A$4" sel="0" val="0"/>
</file>

<file path=xl/ctrlProps/ctrlProp7.xml><?xml version="1.0" encoding="utf-8"?>
<formControlPr xmlns="http://schemas.microsoft.com/office/spreadsheetml/2009/9/main" objectType="Drop" dropLines="56" dropStyle="combo" dx="16" fmlaRange="'[1]DATA Fields'!$A$1:$A$4" sel="0" val="0"/>
</file>

<file path=xl/ctrlProps/ctrlProp8.xml><?xml version="1.0" encoding="utf-8"?>
<formControlPr xmlns="http://schemas.microsoft.com/office/spreadsheetml/2009/9/main" objectType="Drop" dropLines="56" dropStyle="combo" dx="16" fmlaRange="'[1]DATA Fields'!$A$1:$A$4" sel="0" val="0"/>
</file>

<file path=xl/ctrlProps/ctrlProp9.xml><?xml version="1.0" encoding="utf-8"?>
<formControlPr xmlns="http://schemas.microsoft.com/office/spreadsheetml/2009/9/main" objectType="Drop" dropLines="56" dropStyle="combo" dx="16" fmlaRange="'[1]DATA Fields'!$A$1:$A$4" sel="0"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47625</xdr:colOff>
      <xdr:row>4</xdr:row>
      <xdr:rowOff>38101</xdr:rowOff>
    </xdr:from>
    <xdr:to>
      <xdr:col>19</xdr:col>
      <xdr:colOff>1283963</xdr:colOff>
      <xdr:row>4</xdr:row>
      <xdr:rowOff>455085</xdr:rowOff>
    </xdr:to>
    <xdr:sp macro="" textlink="">
      <xdr:nvSpPr>
        <xdr:cNvPr id="12303" name="Drop Down 15" hidden="1">
          <a:extLst>
            <a:ext uri="{63B3BB69-23CF-44E3-9099-C40C66FF867C}">
              <a14:compatExt xmlns:a14="http://schemas.microsoft.com/office/drawing/2010/main" spid="_x0000_s12303"/>
            </a:ext>
            <a:ext uri="{FF2B5EF4-FFF2-40B4-BE49-F238E27FC236}">
              <a16:creationId xmlns="" xmlns:a16="http://schemas.microsoft.com/office/drawing/2014/main" id="{00000000-0008-0000-0200-00000F300000}"/>
            </a:ext>
          </a:extLst>
        </xdr:cNvPr>
        <xdr:cNvSpPr/>
      </xdr:nvSpPr>
      <xdr:spPr>
        <a:xfrm>
          <a:off x="0" y="0"/>
          <a:ext cx="0" cy="0"/>
        </a:xfrm>
        <a:prstGeom prst="rect">
          <a:avLst/>
        </a:prstGeom>
      </xdr:spPr>
    </xdr:sp>
    <xdr:clientData/>
  </xdr:twoCellAnchor>
  <xdr:twoCellAnchor editAs="oneCell">
    <xdr:from>
      <xdr:col>4</xdr:col>
      <xdr:colOff>47625</xdr:colOff>
      <xdr:row>4</xdr:row>
      <xdr:rowOff>38101</xdr:rowOff>
    </xdr:from>
    <xdr:to>
      <xdr:col>19</xdr:col>
      <xdr:colOff>1250097</xdr:colOff>
      <xdr:row>4</xdr:row>
      <xdr:rowOff>455085</xdr:rowOff>
    </xdr:to>
    <xdr:sp macro="" textlink="">
      <xdr:nvSpPr>
        <xdr:cNvPr id="12304" name="Drop Down 16" hidden="1">
          <a:extLst>
            <a:ext uri="{63B3BB69-23CF-44E3-9099-C40C66FF867C}">
              <a14:compatExt xmlns:a14="http://schemas.microsoft.com/office/drawing/2010/main" spid="_x0000_s12304"/>
            </a:ext>
            <a:ext uri="{FF2B5EF4-FFF2-40B4-BE49-F238E27FC236}">
              <a16:creationId xmlns="" xmlns:a16="http://schemas.microsoft.com/office/drawing/2014/main" id="{00000000-0008-0000-0200-000010300000}"/>
            </a:ext>
          </a:extLst>
        </xdr:cNvPr>
        <xdr:cNvSpPr/>
      </xdr:nvSpPr>
      <xdr:spPr>
        <a:xfrm>
          <a:off x="0" y="0"/>
          <a:ext cx="0" cy="0"/>
        </a:xfrm>
        <a:prstGeom prst="rect">
          <a:avLst/>
        </a:prstGeom>
      </xdr:spPr>
    </xdr:sp>
    <xdr:clientData/>
  </xdr:twoCellAnchor>
  <xdr:twoCellAnchor editAs="oneCell">
    <xdr:from>
      <xdr:col>8</xdr:col>
      <xdr:colOff>47625</xdr:colOff>
      <xdr:row>4</xdr:row>
      <xdr:rowOff>38100</xdr:rowOff>
    </xdr:from>
    <xdr:to>
      <xdr:col>19</xdr:col>
      <xdr:colOff>1252213</xdr:colOff>
      <xdr:row>4</xdr:row>
      <xdr:rowOff>486834</xdr:rowOff>
    </xdr:to>
    <xdr:sp macro="" textlink="">
      <xdr:nvSpPr>
        <xdr:cNvPr id="12305" name="Drop Down 17" hidden="1">
          <a:extLst>
            <a:ext uri="{63B3BB69-23CF-44E3-9099-C40C66FF867C}">
              <a14:compatExt xmlns:a14="http://schemas.microsoft.com/office/drawing/2010/main" spid="_x0000_s12305"/>
            </a:ext>
            <a:ext uri="{FF2B5EF4-FFF2-40B4-BE49-F238E27FC236}">
              <a16:creationId xmlns="" xmlns:a16="http://schemas.microsoft.com/office/drawing/2014/main" id="{00000000-0008-0000-0200-000011300000}"/>
            </a:ext>
          </a:extLst>
        </xdr:cNvPr>
        <xdr:cNvSpPr/>
      </xdr:nvSpPr>
      <xdr:spPr>
        <a:xfrm>
          <a:off x="0" y="0"/>
          <a:ext cx="0" cy="0"/>
        </a:xfrm>
        <a:prstGeom prst="rect">
          <a:avLst/>
        </a:prstGeom>
      </xdr:spPr>
    </xdr:sp>
    <xdr:clientData/>
  </xdr:twoCellAnchor>
  <xdr:twoCellAnchor editAs="oneCell">
    <xdr:from>
      <xdr:col>9</xdr:col>
      <xdr:colOff>47625</xdr:colOff>
      <xdr:row>4</xdr:row>
      <xdr:rowOff>38100</xdr:rowOff>
    </xdr:from>
    <xdr:to>
      <xdr:col>19</xdr:col>
      <xdr:colOff>1273379</xdr:colOff>
      <xdr:row>4</xdr:row>
      <xdr:rowOff>486834</xdr:rowOff>
    </xdr:to>
    <xdr:sp macro="" textlink="">
      <xdr:nvSpPr>
        <xdr:cNvPr id="12306" name="Drop Down 18" hidden="1">
          <a:extLst>
            <a:ext uri="{63B3BB69-23CF-44E3-9099-C40C66FF867C}">
              <a14:compatExt xmlns:a14="http://schemas.microsoft.com/office/drawing/2010/main" spid="_x0000_s12306"/>
            </a:ext>
            <a:ext uri="{FF2B5EF4-FFF2-40B4-BE49-F238E27FC236}">
              <a16:creationId xmlns="" xmlns:a16="http://schemas.microsoft.com/office/drawing/2014/main" id="{00000000-0008-0000-0200-000012300000}"/>
            </a:ext>
          </a:extLst>
        </xdr:cNvPr>
        <xdr:cNvSpPr/>
      </xdr:nvSpPr>
      <xdr:spPr>
        <a:xfrm>
          <a:off x="0" y="0"/>
          <a:ext cx="0" cy="0"/>
        </a:xfrm>
        <a:prstGeom prst="rect">
          <a:avLst/>
        </a:prstGeom>
      </xdr:spPr>
    </xdr:sp>
    <xdr:clientData/>
  </xdr:twoCellAnchor>
  <xdr:twoCellAnchor editAs="oneCell">
    <xdr:from>
      <xdr:col>16</xdr:col>
      <xdr:colOff>47625</xdr:colOff>
      <xdr:row>4</xdr:row>
      <xdr:rowOff>38100</xdr:rowOff>
    </xdr:from>
    <xdr:to>
      <xdr:col>19</xdr:col>
      <xdr:colOff>1317625</xdr:colOff>
      <xdr:row>4</xdr:row>
      <xdr:rowOff>486834</xdr:rowOff>
    </xdr:to>
    <xdr:sp macro="" textlink="">
      <xdr:nvSpPr>
        <xdr:cNvPr id="12307" name="Drop Down 19" hidden="1">
          <a:extLst>
            <a:ext uri="{63B3BB69-23CF-44E3-9099-C40C66FF867C}">
              <a14:compatExt xmlns:a14="http://schemas.microsoft.com/office/drawing/2010/main" spid="_x0000_s12307"/>
            </a:ext>
            <a:ext uri="{FF2B5EF4-FFF2-40B4-BE49-F238E27FC236}">
              <a16:creationId xmlns="" xmlns:a16="http://schemas.microsoft.com/office/drawing/2014/main" id="{00000000-0008-0000-0200-000013300000}"/>
            </a:ext>
          </a:extLst>
        </xdr:cNvPr>
        <xdr:cNvSpPr/>
      </xdr:nvSpPr>
      <xdr:spPr>
        <a:xfrm>
          <a:off x="0" y="0"/>
          <a:ext cx="0" cy="0"/>
        </a:xfrm>
        <a:prstGeom prst="rect">
          <a:avLst/>
        </a:prstGeom>
      </xdr:spPr>
    </xdr:sp>
    <xdr:clientData/>
  </xdr:twoCellAnchor>
  <xdr:twoCellAnchor editAs="oneCell">
    <xdr:from>
      <xdr:col>17</xdr:col>
      <xdr:colOff>47625</xdr:colOff>
      <xdr:row>4</xdr:row>
      <xdr:rowOff>38100</xdr:rowOff>
    </xdr:from>
    <xdr:to>
      <xdr:col>19</xdr:col>
      <xdr:colOff>1455208</xdr:colOff>
      <xdr:row>4</xdr:row>
      <xdr:rowOff>465667</xdr:rowOff>
    </xdr:to>
    <xdr:sp macro="" textlink="">
      <xdr:nvSpPr>
        <xdr:cNvPr id="12308" name="Drop Down 20" hidden="1">
          <a:extLst>
            <a:ext uri="{63B3BB69-23CF-44E3-9099-C40C66FF867C}">
              <a14:compatExt xmlns:a14="http://schemas.microsoft.com/office/drawing/2010/main" spid="_x0000_s12308"/>
            </a:ext>
            <a:ext uri="{FF2B5EF4-FFF2-40B4-BE49-F238E27FC236}">
              <a16:creationId xmlns="" xmlns:a16="http://schemas.microsoft.com/office/drawing/2014/main" id="{00000000-0008-0000-0200-000014300000}"/>
            </a:ext>
          </a:extLst>
        </xdr:cNvPr>
        <xdr:cNvSpPr/>
      </xdr:nvSpPr>
      <xdr:spPr>
        <a:xfrm>
          <a:off x="0" y="0"/>
          <a:ext cx="0" cy="0"/>
        </a:xfrm>
        <a:prstGeom prst="rect">
          <a:avLst/>
        </a:prstGeom>
      </xdr:spPr>
    </xdr:sp>
    <xdr:clientData/>
  </xdr:twoCellAnchor>
  <xdr:twoCellAnchor editAs="oneCell">
    <xdr:from>
      <xdr:col>22</xdr:col>
      <xdr:colOff>47625</xdr:colOff>
      <xdr:row>4</xdr:row>
      <xdr:rowOff>38100</xdr:rowOff>
    </xdr:from>
    <xdr:to>
      <xdr:col>23</xdr:col>
      <xdr:colOff>1558110</xdr:colOff>
      <xdr:row>4</xdr:row>
      <xdr:rowOff>476250</xdr:rowOff>
    </xdr:to>
    <xdr:sp macro="" textlink="">
      <xdr:nvSpPr>
        <xdr:cNvPr id="12309" name="Drop Down 21" hidden="1">
          <a:extLst>
            <a:ext uri="{63B3BB69-23CF-44E3-9099-C40C66FF867C}">
              <a14:compatExt xmlns:a14="http://schemas.microsoft.com/office/drawing/2010/main" spid="_x0000_s12309"/>
            </a:ext>
            <a:ext uri="{FF2B5EF4-FFF2-40B4-BE49-F238E27FC236}">
              <a16:creationId xmlns="" xmlns:a16="http://schemas.microsoft.com/office/drawing/2014/main" id="{00000000-0008-0000-0200-000015300000}"/>
            </a:ext>
          </a:extLst>
        </xdr:cNvPr>
        <xdr:cNvSpPr/>
      </xdr:nvSpPr>
      <xdr:spPr>
        <a:xfrm>
          <a:off x="0" y="0"/>
          <a:ext cx="0" cy="0"/>
        </a:xfrm>
        <a:prstGeom prst="rect">
          <a:avLst/>
        </a:prstGeom>
      </xdr:spPr>
    </xdr:sp>
    <xdr:clientData/>
  </xdr:twoCellAnchor>
  <xdr:twoCellAnchor editAs="oneCell">
    <xdr:from>
      <xdr:col>26</xdr:col>
      <xdr:colOff>47625</xdr:colOff>
      <xdr:row>4</xdr:row>
      <xdr:rowOff>38100</xdr:rowOff>
    </xdr:from>
    <xdr:to>
      <xdr:col>27</xdr:col>
      <xdr:colOff>1363912</xdr:colOff>
      <xdr:row>5</xdr:row>
      <xdr:rowOff>3529</xdr:rowOff>
    </xdr:to>
    <xdr:sp macro="" textlink="">
      <xdr:nvSpPr>
        <xdr:cNvPr id="12310" name="Drop Down 22" hidden="1">
          <a:extLst>
            <a:ext uri="{63B3BB69-23CF-44E3-9099-C40C66FF867C}">
              <a14:compatExt xmlns:a14="http://schemas.microsoft.com/office/drawing/2010/main" spid="_x0000_s12310"/>
            </a:ext>
            <a:ext uri="{FF2B5EF4-FFF2-40B4-BE49-F238E27FC236}">
              <a16:creationId xmlns="" xmlns:a16="http://schemas.microsoft.com/office/drawing/2014/main" id="{00000000-0008-0000-0200-000016300000}"/>
            </a:ext>
          </a:extLst>
        </xdr:cNvPr>
        <xdr:cNvSpPr/>
      </xdr:nvSpPr>
      <xdr:spPr>
        <a:xfrm>
          <a:off x="0" y="0"/>
          <a:ext cx="0" cy="0"/>
        </a:xfrm>
        <a:prstGeom prst="rect">
          <a:avLst/>
        </a:prstGeom>
      </xdr:spPr>
    </xdr:sp>
    <xdr:clientData/>
  </xdr:twoCellAnchor>
  <xdr:twoCellAnchor editAs="oneCell">
    <xdr:from>
      <xdr:col>10</xdr:col>
      <xdr:colOff>47624</xdr:colOff>
      <xdr:row>4</xdr:row>
      <xdr:rowOff>38100</xdr:rowOff>
    </xdr:from>
    <xdr:to>
      <xdr:col>19</xdr:col>
      <xdr:colOff>1220463</xdr:colOff>
      <xdr:row>4</xdr:row>
      <xdr:rowOff>465667</xdr:rowOff>
    </xdr:to>
    <xdr:sp macro="" textlink="">
      <xdr:nvSpPr>
        <xdr:cNvPr id="12313" name="Drop Down 25" hidden="1">
          <a:extLst>
            <a:ext uri="{63B3BB69-23CF-44E3-9099-C40C66FF867C}">
              <a14:compatExt xmlns:a14="http://schemas.microsoft.com/office/drawing/2010/main" spid="_x0000_s12313"/>
            </a:ext>
            <a:ext uri="{FF2B5EF4-FFF2-40B4-BE49-F238E27FC236}">
              <a16:creationId xmlns="" xmlns:a16="http://schemas.microsoft.com/office/drawing/2014/main" id="{00000000-0008-0000-0200-000019300000}"/>
            </a:ext>
          </a:extLst>
        </xdr:cNvPr>
        <xdr:cNvSpPr/>
      </xdr:nvSpPr>
      <xdr:spPr>
        <a:xfrm>
          <a:off x="0" y="0"/>
          <a:ext cx="0" cy="0"/>
        </a:xfrm>
        <a:prstGeom prst="rect">
          <a:avLst/>
        </a:prstGeom>
      </xdr:spPr>
    </xdr:sp>
    <xdr:clientData/>
  </xdr:twoCellAnchor>
  <xdr:twoCellAnchor editAs="oneCell">
    <xdr:from>
      <xdr:col>18</xdr:col>
      <xdr:colOff>47625</xdr:colOff>
      <xdr:row>4</xdr:row>
      <xdr:rowOff>38101</xdr:rowOff>
    </xdr:from>
    <xdr:to>
      <xdr:col>19</xdr:col>
      <xdr:colOff>1459442</xdr:colOff>
      <xdr:row>4</xdr:row>
      <xdr:rowOff>444501</xdr:rowOff>
    </xdr:to>
    <xdr:sp macro="" textlink="">
      <xdr:nvSpPr>
        <xdr:cNvPr id="12314" name="Drop Down 26" hidden="1">
          <a:extLst>
            <a:ext uri="{63B3BB69-23CF-44E3-9099-C40C66FF867C}">
              <a14:compatExt xmlns:a14="http://schemas.microsoft.com/office/drawing/2010/main" spid="_x0000_s12314"/>
            </a:ext>
            <a:ext uri="{FF2B5EF4-FFF2-40B4-BE49-F238E27FC236}">
              <a16:creationId xmlns="" xmlns:a16="http://schemas.microsoft.com/office/drawing/2014/main" id="{00000000-0008-0000-0200-00001A300000}"/>
            </a:ext>
          </a:extLst>
        </xdr:cNvPr>
        <xdr:cNvSpPr/>
      </xdr:nvSpPr>
      <xdr:spPr>
        <a:xfrm>
          <a:off x="0" y="0"/>
          <a:ext cx="0" cy="0"/>
        </a:xfrm>
        <a:prstGeom prst="rect">
          <a:avLst/>
        </a:prstGeom>
      </xdr:spPr>
    </xdr:sp>
    <xdr:clientData/>
  </xdr:twoCellAnchor>
  <xdr:twoCellAnchor editAs="oneCell">
    <xdr:from>
      <xdr:col>23</xdr:col>
      <xdr:colOff>47625</xdr:colOff>
      <xdr:row>4</xdr:row>
      <xdr:rowOff>38100</xdr:rowOff>
    </xdr:from>
    <xdr:to>
      <xdr:col>24</xdr:col>
      <xdr:colOff>106890</xdr:colOff>
      <xdr:row>4</xdr:row>
      <xdr:rowOff>466725</xdr:rowOff>
    </xdr:to>
    <xdr:sp macro="" textlink="">
      <xdr:nvSpPr>
        <xdr:cNvPr id="12315" name="Drop Down 27" hidden="1">
          <a:extLst>
            <a:ext uri="{63B3BB69-23CF-44E3-9099-C40C66FF867C}">
              <a14:compatExt xmlns:a14="http://schemas.microsoft.com/office/drawing/2010/main" spid="_x0000_s12315"/>
            </a:ext>
            <a:ext uri="{FF2B5EF4-FFF2-40B4-BE49-F238E27FC236}">
              <a16:creationId xmlns="" xmlns:a16="http://schemas.microsoft.com/office/drawing/2014/main" id="{00000000-0008-0000-0200-00001B300000}"/>
            </a:ext>
          </a:extLst>
        </xdr:cNvPr>
        <xdr:cNvSpPr/>
      </xdr:nvSpPr>
      <xdr:spPr>
        <a:xfrm>
          <a:off x="0" y="0"/>
          <a:ext cx="0" cy="0"/>
        </a:xfrm>
        <a:prstGeom prst="rect">
          <a:avLst/>
        </a:prstGeom>
      </xdr:spPr>
    </xdr:sp>
    <xdr:clientData/>
  </xdr:twoCellAnchor>
  <xdr:twoCellAnchor editAs="oneCell">
    <xdr:from>
      <xdr:col>28</xdr:col>
      <xdr:colOff>47625</xdr:colOff>
      <xdr:row>4</xdr:row>
      <xdr:rowOff>38100</xdr:rowOff>
    </xdr:from>
    <xdr:to>
      <xdr:col>29</xdr:col>
      <xdr:colOff>3529</xdr:colOff>
      <xdr:row>4</xdr:row>
      <xdr:rowOff>486834</xdr:rowOff>
    </xdr:to>
    <xdr:sp macro="" textlink="">
      <xdr:nvSpPr>
        <xdr:cNvPr id="12317" name="Drop Down 29" hidden="1">
          <a:extLst>
            <a:ext uri="{63B3BB69-23CF-44E3-9099-C40C66FF867C}">
              <a14:compatExt xmlns:a14="http://schemas.microsoft.com/office/drawing/2010/main" spid="_x0000_s12317"/>
            </a:ext>
            <a:ext uri="{FF2B5EF4-FFF2-40B4-BE49-F238E27FC236}">
              <a16:creationId xmlns="" xmlns:a16="http://schemas.microsoft.com/office/drawing/2014/main" id="{00000000-0008-0000-0200-00001D300000}"/>
            </a:ext>
          </a:extLst>
        </xdr:cNvPr>
        <xdr:cNvSpPr/>
      </xdr:nvSpPr>
      <xdr:spPr>
        <a:xfrm>
          <a:off x="0" y="0"/>
          <a:ext cx="0" cy="0"/>
        </a:xfrm>
        <a:prstGeom prst="rect">
          <a:avLst/>
        </a:prstGeom>
      </xdr:spPr>
    </xdr:sp>
    <xdr:clientData/>
  </xdr:twoCellAnchor>
  <xdr:oneCellAnchor>
    <xdr:from>
      <xdr:col>5</xdr:col>
      <xdr:colOff>47625</xdr:colOff>
      <xdr:row>4</xdr:row>
      <xdr:rowOff>38100</xdr:rowOff>
    </xdr:from>
    <xdr:ext cx="1402291" cy="427567"/>
    <xdr:sp macro="" textlink="">
      <xdr:nvSpPr>
        <xdr:cNvPr id="12324" name="Drop Down 36" hidden="1">
          <a:extLst>
            <a:ext uri="{63B3BB69-23CF-44E3-9099-C40C66FF867C}">
              <a14:compatExt xmlns:a14="http://schemas.microsoft.com/office/drawing/2010/main" spid="_x0000_s12324"/>
            </a:ext>
            <a:ext uri="{FF2B5EF4-FFF2-40B4-BE49-F238E27FC236}">
              <a16:creationId xmlns="" xmlns:a16="http://schemas.microsoft.com/office/drawing/2014/main" id="{00000000-0008-0000-0200-000024300000}"/>
            </a:ext>
          </a:extLst>
        </xdr:cNvPr>
        <xdr:cNvSpPr/>
      </xdr:nvSpPr>
      <xdr:spPr>
        <a:xfrm>
          <a:off x="0" y="0"/>
          <a:ext cx="0" cy="0"/>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0</xdr:colOff>
          <xdr:row>4</xdr:row>
          <xdr:rowOff>28575</xdr:rowOff>
        </xdr:from>
        <xdr:to>
          <xdr:col>19</xdr:col>
          <xdr:colOff>1219200</xdr:colOff>
          <xdr:row>4</xdr:row>
          <xdr:rowOff>428625</xdr:rowOff>
        </xdr:to>
        <xdr:sp macro="" textlink="">
          <xdr:nvSpPr>
            <xdr:cNvPr id="1028" name="Drop Down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28575</xdr:rowOff>
        </xdr:from>
        <xdr:to>
          <xdr:col>19</xdr:col>
          <xdr:colOff>1295400</xdr:colOff>
          <xdr:row>4</xdr:row>
          <xdr:rowOff>428625</xdr:rowOff>
        </xdr:to>
        <xdr:sp macro="" textlink="">
          <xdr:nvSpPr>
            <xdr:cNvPr id="1030" name="Drop Down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28575</xdr:rowOff>
        </xdr:from>
        <xdr:to>
          <xdr:col>19</xdr:col>
          <xdr:colOff>1362075</xdr:colOff>
          <xdr:row>4</xdr:row>
          <xdr:rowOff>457200</xdr:rowOff>
        </xdr:to>
        <xdr:sp macro="" textlink="">
          <xdr:nvSpPr>
            <xdr:cNvPr id="1031" name="Drop Down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28575</xdr:rowOff>
        </xdr:from>
        <xdr:to>
          <xdr:col>19</xdr:col>
          <xdr:colOff>1409700</xdr:colOff>
          <xdr:row>4</xdr:row>
          <xdr:rowOff>419100</xdr:rowOff>
        </xdr:to>
        <xdr:sp macro="" textlink="">
          <xdr:nvSpPr>
            <xdr:cNvPr id="1032" name="Drop Down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xdr:row>
          <xdr:rowOff>28575</xdr:rowOff>
        </xdr:from>
        <xdr:to>
          <xdr:col>19</xdr:col>
          <xdr:colOff>1419225</xdr:colOff>
          <xdr:row>4</xdr:row>
          <xdr:rowOff>428625</xdr:rowOff>
        </xdr:to>
        <xdr:sp macro="" textlink="">
          <xdr:nvSpPr>
            <xdr:cNvPr id="1033" name="Drop Down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xdr:row>
          <xdr:rowOff>28575</xdr:rowOff>
        </xdr:from>
        <xdr:to>
          <xdr:col>23</xdr:col>
          <xdr:colOff>1400175</xdr:colOff>
          <xdr:row>4</xdr:row>
          <xdr:rowOff>428625</xdr:rowOff>
        </xdr:to>
        <xdr:sp macro="" textlink="">
          <xdr:nvSpPr>
            <xdr:cNvPr id="1034" name="Drop Down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xdr:row>
          <xdr:rowOff>28575</xdr:rowOff>
        </xdr:from>
        <xdr:to>
          <xdr:col>27</xdr:col>
          <xdr:colOff>1295400</xdr:colOff>
          <xdr:row>4</xdr:row>
          <xdr:rowOff>457200</xdr:rowOff>
        </xdr:to>
        <xdr:sp macro="" textlink="">
          <xdr:nvSpPr>
            <xdr:cNvPr id="1036" name="Drop Down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95250</xdr:colOff>
          <xdr:row>4</xdr:row>
          <xdr:rowOff>28575</xdr:rowOff>
        </xdr:from>
        <xdr:to>
          <xdr:col>28</xdr:col>
          <xdr:colOff>1457325</xdr:colOff>
          <xdr:row>4</xdr:row>
          <xdr:rowOff>466725</xdr:rowOff>
        </xdr:to>
        <xdr:sp macro="" textlink="">
          <xdr:nvSpPr>
            <xdr:cNvPr id="1037" name="Drop Down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xdr:twoCellAnchor editAs="oneCell">
    <xdr:from>
      <xdr:col>3</xdr:col>
      <xdr:colOff>63500</xdr:colOff>
      <xdr:row>4</xdr:row>
      <xdr:rowOff>53975</xdr:rowOff>
    </xdr:from>
    <xdr:to>
      <xdr:col>19</xdr:col>
      <xdr:colOff>1219627</xdr:colOff>
      <xdr:row>4</xdr:row>
      <xdr:rowOff>458537</xdr:rowOff>
    </xdr:to>
    <xdr:sp macro="" textlink="">
      <xdr:nvSpPr>
        <xdr:cNvPr id="28" name="Drop Down 1">
          <a:extLst>
            <a:ext uri="{FF2B5EF4-FFF2-40B4-BE49-F238E27FC236}">
              <a16:creationId xmlns="" xmlns:a16="http://schemas.microsoft.com/office/drawing/2014/main" id="{1C8A07E7-D6B5-48E7-9BBF-E97AFA76C518}"/>
            </a:ext>
          </a:extLst>
        </xdr:cNvPr>
        <xdr:cNvSpPr/>
      </xdr:nvSpPr>
      <xdr:spPr bwMode="auto">
        <a:xfrm>
          <a:off x="5816600" y="1273175"/>
          <a:ext cx="1380289" cy="404562"/>
        </a:xfrm>
        <a:prstGeom prst="rect">
          <a:avLst/>
        </a:prstGeom>
        <a:blipFill>
          <a:blip xmlns:r="http://schemas.openxmlformats.org/officeDocument/2006/relationships" r:embed="rId1"/>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Planning Year</a:t>
          </a:r>
        </a:p>
      </xdr:txBody>
    </xdr:sp>
    <xdr:clientData/>
  </xdr:twoCellAnchor>
  <xdr:twoCellAnchor editAs="oneCell">
    <xdr:from>
      <xdr:col>5</xdr:col>
      <xdr:colOff>50800</xdr:colOff>
      <xdr:row>4</xdr:row>
      <xdr:rowOff>53975</xdr:rowOff>
    </xdr:from>
    <xdr:to>
      <xdr:col>19</xdr:col>
      <xdr:colOff>1219627</xdr:colOff>
      <xdr:row>4</xdr:row>
      <xdr:rowOff>458537</xdr:rowOff>
    </xdr:to>
    <xdr:sp macro="" textlink="">
      <xdr:nvSpPr>
        <xdr:cNvPr id="29" name="Drop Down 1">
          <a:extLst>
            <a:ext uri="{FF2B5EF4-FFF2-40B4-BE49-F238E27FC236}">
              <a16:creationId xmlns="" xmlns:a16="http://schemas.microsoft.com/office/drawing/2014/main" id="{1C8A07E7-D6B5-48E7-9BBF-E97AFA76C518}"/>
            </a:ext>
          </a:extLst>
        </xdr:cNvPr>
        <xdr:cNvSpPr/>
      </xdr:nvSpPr>
      <xdr:spPr bwMode="auto">
        <a:xfrm>
          <a:off x="7264400" y="1273175"/>
          <a:ext cx="1380289" cy="404562"/>
        </a:xfrm>
        <a:prstGeom prst="rect">
          <a:avLst/>
        </a:prstGeom>
        <a:blipFill>
          <a:blip xmlns:r="http://schemas.openxmlformats.org/officeDocument/2006/relationships" r:embed="rId1"/>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Planning Year</a:t>
          </a:r>
        </a:p>
      </xdr:txBody>
    </xdr:sp>
    <xdr:clientData/>
  </xdr:twoCellAnchor>
  <xdr:twoCellAnchor editAs="oneCell">
    <xdr:from>
      <xdr:col>8</xdr:col>
      <xdr:colOff>76200</xdr:colOff>
      <xdr:row>4</xdr:row>
      <xdr:rowOff>28575</xdr:rowOff>
    </xdr:from>
    <xdr:to>
      <xdr:col>19</xdr:col>
      <xdr:colOff>1287306</xdr:colOff>
      <xdr:row>4</xdr:row>
      <xdr:rowOff>452686</xdr:rowOff>
    </xdr:to>
    <xdr:sp macro="" textlink="">
      <xdr:nvSpPr>
        <xdr:cNvPr id="30" name="Drop Down 2">
          <a:extLst>
            <a:ext uri="{FF2B5EF4-FFF2-40B4-BE49-F238E27FC236}">
              <a16:creationId xmlns="" xmlns:a16="http://schemas.microsoft.com/office/drawing/2014/main" id="{0D37CEC4-7868-4A8E-AE55-3ED0A8E839E1}"/>
            </a:ext>
          </a:extLst>
        </xdr:cNvPr>
        <xdr:cNvSpPr/>
      </xdr:nvSpPr>
      <xdr:spPr bwMode="auto">
        <a:xfrm>
          <a:off x="9004300" y="1247775"/>
          <a:ext cx="1447968" cy="42411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twoCellAnchor>
  <xdr:twoCellAnchor editAs="oneCell">
    <xdr:from>
      <xdr:col>10</xdr:col>
      <xdr:colOff>76200</xdr:colOff>
      <xdr:row>4</xdr:row>
      <xdr:rowOff>28575</xdr:rowOff>
    </xdr:from>
    <xdr:to>
      <xdr:col>19</xdr:col>
      <xdr:colOff>1287306</xdr:colOff>
      <xdr:row>4</xdr:row>
      <xdr:rowOff>452686</xdr:rowOff>
    </xdr:to>
    <xdr:sp macro="" textlink="">
      <xdr:nvSpPr>
        <xdr:cNvPr id="31" name="Drop Down 2">
          <a:extLst>
            <a:ext uri="{FF2B5EF4-FFF2-40B4-BE49-F238E27FC236}">
              <a16:creationId xmlns="" xmlns:a16="http://schemas.microsoft.com/office/drawing/2014/main" id="{0D37CEC4-7868-4A8E-AE55-3ED0A8E839E1}"/>
            </a:ext>
          </a:extLst>
        </xdr:cNvPr>
        <xdr:cNvSpPr/>
      </xdr:nvSpPr>
      <xdr:spPr bwMode="auto">
        <a:xfrm>
          <a:off x="9080500" y="1247775"/>
          <a:ext cx="1447968" cy="42411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twoCellAnchor>
  <xdr:twoCellAnchor editAs="oneCell">
    <xdr:from>
      <xdr:col>16</xdr:col>
      <xdr:colOff>47625</xdr:colOff>
      <xdr:row>4</xdr:row>
      <xdr:rowOff>28575</xdr:rowOff>
    </xdr:from>
    <xdr:to>
      <xdr:col>19</xdr:col>
      <xdr:colOff>1447968</xdr:colOff>
      <xdr:row>4</xdr:row>
      <xdr:rowOff>452686</xdr:rowOff>
    </xdr:to>
    <xdr:sp macro="" textlink="">
      <xdr:nvSpPr>
        <xdr:cNvPr id="32" name="Drop Down 2">
          <a:extLst>
            <a:ext uri="{FF2B5EF4-FFF2-40B4-BE49-F238E27FC236}">
              <a16:creationId xmlns="" xmlns:a16="http://schemas.microsoft.com/office/drawing/2014/main" id="{0D37CEC4-7868-4A8E-AE55-3ED0A8E839E1}"/>
            </a:ext>
          </a:extLst>
        </xdr:cNvPr>
        <xdr:cNvSpPr/>
      </xdr:nvSpPr>
      <xdr:spPr bwMode="auto">
        <a:xfrm>
          <a:off x="12290425" y="1247775"/>
          <a:ext cx="1447968" cy="42411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twoCellAnchor>
  <xdr:twoCellAnchor editAs="oneCell">
    <xdr:from>
      <xdr:col>18</xdr:col>
      <xdr:colOff>76200</xdr:colOff>
      <xdr:row>4</xdr:row>
      <xdr:rowOff>28575</xdr:rowOff>
    </xdr:from>
    <xdr:to>
      <xdr:col>19</xdr:col>
      <xdr:colOff>1447968</xdr:colOff>
      <xdr:row>4</xdr:row>
      <xdr:rowOff>452686</xdr:rowOff>
    </xdr:to>
    <xdr:sp macro="" textlink="">
      <xdr:nvSpPr>
        <xdr:cNvPr id="33" name="Drop Down 2">
          <a:extLst>
            <a:ext uri="{FF2B5EF4-FFF2-40B4-BE49-F238E27FC236}">
              <a16:creationId xmlns="" xmlns:a16="http://schemas.microsoft.com/office/drawing/2014/main" id="{0D37CEC4-7868-4A8E-AE55-3ED0A8E839E1}"/>
            </a:ext>
          </a:extLst>
        </xdr:cNvPr>
        <xdr:cNvSpPr/>
      </xdr:nvSpPr>
      <xdr:spPr bwMode="auto">
        <a:xfrm>
          <a:off x="13754100" y="1247775"/>
          <a:ext cx="1447968" cy="42411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twoCellAnchor>
  <xdr:twoCellAnchor editAs="oneCell">
    <xdr:from>
      <xdr:col>22</xdr:col>
      <xdr:colOff>76200</xdr:colOff>
      <xdr:row>4</xdr:row>
      <xdr:rowOff>28575</xdr:rowOff>
    </xdr:from>
    <xdr:to>
      <xdr:col>23</xdr:col>
      <xdr:colOff>1447968</xdr:colOff>
      <xdr:row>4</xdr:row>
      <xdr:rowOff>452686</xdr:rowOff>
    </xdr:to>
    <xdr:sp macro="" textlink="">
      <xdr:nvSpPr>
        <xdr:cNvPr id="34" name="Drop Down 2">
          <a:extLst>
            <a:ext uri="{FF2B5EF4-FFF2-40B4-BE49-F238E27FC236}">
              <a16:creationId xmlns="" xmlns:a16="http://schemas.microsoft.com/office/drawing/2014/main" id="{0D37CEC4-7868-4A8E-AE55-3ED0A8E839E1}"/>
            </a:ext>
          </a:extLst>
        </xdr:cNvPr>
        <xdr:cNvSpPr/>
      </xdr:nvSpPr>
      <xdr:spPr bwMode="auto">
        <a:xfrm>
          <a:off x="15481300" y="1247775"/>
          <a:ext cx="1447968" cy="42411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twoCellAnchor>
  <xdr:twoCellAnchor editAs="oneCell">
    <xdr:from>
      <xdr:col>23</xdr:col>
      <xdr:colOff>50800</xdr:colOff>
      <xdr:row>4</xdr:row>
      <xdr:rowOff>41275</xdr:rowOff>
    </xdr:from>
    <xdr:to>
      <xdr:col>23</xdr:col>
      <xdr:colOff>1498768</xdr:colOff>
      <xdr:row>4</xdr:row>
      <xdr:rowOff>465386</xdr:rowOff>
    </xdr:to>
    <xdr:sp macro="" textlink="">
      <xdr:nvSpPr>
        <xdr:cNvPr id="35" name="Drop Down 2">
          <a:extLst>
            <a:ext uri="{FF2B5EF4-FFF2-40B4-BE49-F238E27FC236}">
              <a16:creationId xmlns="" xmlns:a16="http://schemas.microsoft.com/office/drawing/2014/main" id="{0D37CEC4-7868-4A8E-AE55-3ED0A8E839E1}"/>
            </a:ext>
          </a:extLst>
        </xdr:cNvPr>
        <xdr:cNvSpPr/>
      </xdr:nvSpPr>
      <xdr:spPr bwMode="auto">
        <a:xfrm>
          <a:off x="17195800" y="1260475"/>
          <a:ext cx="1447968" cy="42411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twoCellAnchor>
  <xdr:twoCellAnchor editAs="oneCell">
    <xdr:from>
      <xdr:col>26</xdr:col>
      <xdr:colOff>76200</xdr:colOff>
      <xdr:row>4</xdr:row>
      <xdr:rowOff>28575</xdr:rowOff>
    </xdr:from>
    <xdr:to>
      <xdr:col>27</xdr:col>
      <xdr:colOff>1449804</xdr:colOff>
      <xdr:row>4</xdr:row>
      <xdr:rowOff>452686</xdr:rowOff>
    </xdr:to>
    <xdr:sp macro="" textlink="">
      <xdr:nvSpPr>
        <xdr:cNvPr id="36" name="Drop Down 2">
          <a:extLst>
            <a:ext uri="{FF2B5EF4-FFF2-40B4-BE49-F238E27FC236}">
              <a16:creationId xmlns="" xmlns:a16="http://schemas.microsoft.com/office/drawing/2014/main" id="{0D37CEC4-7868-4A8E-AE55-3ED0A8E839E1}"/>
            </a:ext>
          </a:extLst>
        </xdr:cNvPr>
        <xdr:cNvSpPr/>
      </xdr:nvSpPr>
      <xdr:spPr bwMode="auto">
        <a:xfrm>
          <a:off x="18846800" y="1247775"/>
          <a:ext cx="1447968" cy="42411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twoCellAnchor>
  <xdr:twoCellAnchor editAs="oneCell">
    <xdr:from>
      <xdr:col>28</xdr:col>
      <xdr:colOff>76200</xdr:colOff>
      <xdr:row>4</xdr:row>
      <xdr:rowOff>28575</xdr:rowOff>
    </xdr:from>
    <xdr:to>
      <xdr:col>28</xdr:col>
      <xdr:colOff>1524168</xdr:colOff>
      <xdr:row>4</xdr:row>
      <xdr:rowOff>452686</xdr:rowOff>
    </xdr:to>
    <xdr:sp macro="" textlink="">
      <xdr:nvSpPr>
        <xdr:cNvPr id="37" name="Drop Down 2">
          <a:extLst>
            <a:ext uri="{FF2B5EF4-FFF2-40B4-BE49-F238E27FC236}">
              <a16:creationId xmlns="" xmlns:a16="http://schemas.microsoft.com/office/drawing/2014/main" id="{0D37CEC4-7868-4A8E-AE55-3ED0A8E839E1}"/>
            </a:ext>
          </a:extLst>
        </xdr:cNvPr>
        <xdr:cNvSpPr/>
      </xdr:nvSpPr>
      <xdr:spPr bwMode="auto">
        <a:xfrm>
          <a:off x="20256500" y="1247775"/>
          <a:ext cx="1447968" cy="42411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twoCellAnchor>
  <xdr:twoCellAnchor editAs="oneCell">
    <xdr:from>
      <xdr:col>4</xdr:col>
      <xdr:colOff>50800</xdr:colOff>
      <xdr:row>4</xdr:row>
      <xdr:rowOff>50800</xdr:rowOff>
    </xdr:from>
    <xdr:to>
      <xdr:col>19</xdr:col>
      <xdr:colOff>1219627</xdr:colOff>
      <xdr:row>4</xdr:row>
      <xdr:rowOff>455362</xdr:rowOff>
    </xdr:to>
    <xdr:sp macro="" textlink="">
      <xdr:nvSpPr>
        <xdr:cNvPr id="38" name="Drop Down 1">
          <a:extLst>
            <a:ext uri="{FF2B5EF4-FFF2-40B4-BE49-F238E27FC236}">
              <a16:creationId xmlns="" xmlns:a16="http://schemas.microsoft.com/office/drawing/2014/main" id="{1C8A07E7-D6B5-48E7-9BBF-E97AFA76C518}"/>
            </a:ext>
          </a:extLst>
        </xdr:cNvPr>
        <xdr:cNvSpPr/>
      </xdr:nvSpPr>
      <xdr:spPr bwMode="auto">
        <a:xfrm>
          <a:off x="7264400" y="1270000"/>
          <a:ext cx="1380289" cy="404562"/>
        </a:xfrm>
        <a:prstGeom prst="rect">
          <a:avLst/>
        </a:prstGeom>
        <a:blipFill>
          <a:blip xmlns:r="http://schemas.openxmlformats.org/officeDocument/2006/relationships" r:embed="rId1"/>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Planning Year</a:t>
          </a:r>
        </a:p>
      </xdr:txBody>
    </xdr:sp>
    <xdr:clientData/>
  </xdr:twoCellAnchor>
  <xdr:oneCellAnchor>
    <xdr:from>
      <xdr:col>6</xdr:col>
      <xdr:colOff>47625</xdr:colOff>
      <xdr:row>4</xdr:row>
      <xdr:rowOff>38100</xdr:rowOff>
    </xdr:from>
    <xdr:ext cx="1402291" cy="427567"/>
    <xdr:sp macro="" textlink="">
      <xdr:nvSpPr>
        <xdr:cNvPr id="39" name="Drop Down 36" hidden="1">
          <a:extLst>
            <a:ext uri="{63B3BB69-23CF-44E3-9099-C40C66FF867C}">
              <a14:compatExt xmlns:a14="http://schemas.microsoft.com/office/drawing/2010/main" spid="_x0000_s12324"/>
            </a:ext>
            <a:ext uri="{FF2B5EF4-FFF2-40B4-BE49-F238E27FC236}">
              <a16:creationId xmlns="" xmlns:a16="http://schemas.microsoft.com/office/drawing/2014/main" id="{00000000-0008-0000-0200-000024300000}"/>
            </a:ext>
          </a:extLst>
        </xdr:cNvPr>
        <xdr:cNvSpPr/>
      </xdr:nvSpPr>
      <xdr:spPr>
        <a:xfrm>
          <a:off x="8797925" y="1257300"/>
          <a:ext cx="1402291" cy="427567"/>
        </a:xfrm>
        <a:prstGeom prst="rect">
          <a:avLst/>
        </a:prstGeom>
      </xdr:spPr>
    </xdr:sp>
    <xdr:clientData/>
  </xdr:oneCellAnchor>
  <xdr:oneCellAnchor>
    <xdr:from>
      <xdr:col>6</xdr:col>
      <xdr:colOff>50800</xdr:colOff>
      <xdr:row>4</xdr:row>
      <xdr:rowOff>53975</xdr:rowOff>
    </xdr:from>
    <xdr:ext cx="1380289" cy="404562"/>
    <xdr:sp macro="" textlink="">
      <xdr:nvSpPr>
        <xdr:cNvPr id="40" name="Drop Down 1">
          <a:extLst>
            <a:ext uri="{FF2B5EF4-FFF2-40B4-BE49-F238E27FC236}">
              <a16:creationId xmlns="" xmlns:a16="http://schemas.microsoft.com/office/drawing/2014/main" id="{1C8A07E7-D6B5-48E7-9BBF-E97AFA76C518}"/>
            </a:ext>
          </a:extLst>
        </xdr:cNvPr>
        <xdr:cNvSpPr/>
      </xdr:nvSpPr>
      <xdr:spPr bwMode="auto">
        <a:xfrm>
          <a:off x="8801100" y="1273175"/>
          <a:ext cx="1380289" cy="404562"/>
        </a:xfrm>
        <a:prstGeom prst="rect">
          <a:avLst/>
        </a:prstGeom>
        <a:blipFill>
          <a:blip xmlns:r="http://schemas.openxmlformats.org/officeDocument/2006/relationships" r:embed="rId1"/>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Planning Year</a:t>
          </a:r>
        </a:p>
      </xdr:txBody>
    </xdr:sp>
    <xdr:clientData/>
  </xdr:oneCellAnchor>
  <xdr:oneCellAnchor>
    <xdr:from>
      <xdr:col>10</xdr:col>
      <xdr:colOff>47625</xdr:colOff>
      <xdr:row>4</xdr:row>
      <xdr:rowOff>38100</xdr:rowOff>
    </xdr:from>
    <xdr:ext cx="1434041" cy="448734"/>
    <xdr:sp macro="" textlink="">
      <xdr:nvSpPr>
        <xdr:cNvPr id="41" name="Drop Down 18" hidden="1">
          <a:extLst>
            <a:ext uri="{63B3BB69-23CF-44E3-9099-C40C66FF867C}">
              <a14:compatExt xmlns:a14="http://schemas.microsoft.com/office/drawing/2010/main" spid="_x0000_s12306"/>
            </a:ext>
            <a:ext uri="{FF2B5EF4-FFF2-40B4-BE49-F238E27FC236}">
              <a16:creationId xmlns="" xmlns:a16="http://schemas.microsoft.com/office/drawing/2014/main" id="{00000000-0008-0000-0200-000012300000}"/>
            </a:ext>
          </a:extLst>
        </xdr:cNvPr>
        <xdr:cNvSpPr/>
      </xdr:nvSpPr>
      <xdr:spPr>
        <a:xfrm>
          <a:off x="10541000" y="1257300"/>
          <a:ext cx="1434041" cy="448734"/>
        </a:xfrm>
        <a:prstGeom prst="rect">
          <a:avLst/>
        </a:prstGeom>
      </xdr:spPr>
    </xdr:sp>
    <xdr:clientData/>
  </xdr:oneCellAnchor>
  <xdr:oneCellAnchor>
    <xdr:from>
      <xdr:col>11</xdr:col>
      <xdr:colOff>47624</xdr:colOff>
      <xdr:row>4</xdr:row>
      <xdr:rowOff>38100</xdr:rowOff>
    </xdr:from>
    <xdr:ext cx="1381125" cy="427567"/>
    <xdr:sp macro="" textlink="">
      <xdr:nvSpPr>
        <xdr:cNvPr id="42" name="Drop Down 25" hidden="1">
          <a:extLst>
            <a:ext uri="{63B3BB69-23CF-44E3-9099-C40C66FF867C}">
              <a14:compatExt xmlns:a14="http://schemas.microsoft.com/office/drawing/2010/main" spid="_x0000_s12313"/>
            </a:ext>
            <a:ext uri="{FF2B5EF4-FFF2-40B4-BE49-F238E27FC236}">
              <a16:creationId xmlns="" xmlns:a16="http://schemas.microsoft.com/office/drawing/2014/main" id="{00000000-0008-0000-0200-000019300000}"/>
            </a:ext>
          </a:extLst>
        </xdr:cNvPr>
        <xdr:cNvSpPr/>
      </xdr:nvSpPr>
      <xdr:spPr>
        <a:xfrm>
          <a:off x="10588624" y="1257300"/>
          <a:ext cx="1381125" cy="427567"/>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0</xdr:colOff>
          <xdr:row>4</xdr:row>
          <xdr:rowOff>28575</xdr:rowOff>
        </xdr:from>
        <xdr:to>
          <xdr:col>19</xdr:col>
          <xdr:colOff>1295400</xdr:colOff>
          <xdr:row>4</xdr:row>
          <xdr:rowOff>428625</xdr:rowOff>
        </xdr:to>
        <xdr:sp macro="" textlink="">
          <xdr:nvSpPr>
            <xdr:cNvPr id="1039" name="Drop Down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xdr:oneCellAnchor>
    <xdr:from>
      <xdr:col>11</xdr:col>
      <xdr:colOff>76200</xdr:colOff>
      <xdr:row>4</xdr:row>
      <xdr:rowOff>28575</xdr:rowOff>
    </xdr:from>
    <xdr:ext cx="1447968" cy="424111"/>
    <xdr:sp macro="" textlink="">
      <xdr:nvSpPr>
        <xdr:cNvPr id="43" name="Drop Down 2">
          <a:extLst>
            <a:ext uri="{FF2B5EF4-FFF2-40B4-BE49-F238E27FC236}">
              <a16:creationId xmlns="" xmlns:a16="http://schemas.microsoft.com/office/drawing/2014/main" id="{0D37CEC4-7868-4A8E-AE55-3ED0A8E839E1}"/>
            </a:ext>
          </a:extLst>
        </xdr:cNvPr>
        <xdr:cNvSpPr/>
      </xdr:nvSpPr>
      <xdr:spPr bwMode="auto">
        <a:xfrm>
          <a:off x="10617200" y="1247775"/>
          <a:ext cx="1447968" cy="42411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twoCellAnchor editAs="oneCell">
    <xdr:from>
      <xdr:col>8</xdr:col>
      <xdr:colOff>0</xdr:colOff>
      <xdr:row>4</xdr:row>
      <xdr:rowOff>25400</xdr:rowOff>
    </xdr:from>
    <xdr:to>
      <xdr:col>19</xdr:col>
      <xdr:colOff>1287306</xdr:colOff>
      <xdr:row>4</xdr:row>
      <xdr:rowOff>449511</xdr:rowOff>
    </xdr:to>
    <xdr:sp macro="" textlink="">
      <xdr:nvSpPr>
        <xdr:cNvPr id="44" name="Drop Down 2">
          <a:extLst>
            <a:ext uri="{FF2B5EF4-FFF2-40B4-BE49-F238E27FC236}">
              <a16:creationId xmlns="" xmlns:a16="http://schemas.microsoft.com/office/drawing/2014/main" id="{0D37CEC4-7868-4A8E-AE55-3ED0A8E839E1}"/>
            </a:ext>
          </a:extLst>
        </xdr:cNvPr>
        <xdr:cNvSpPr/>
      </xdr:nvSpPr>
      <xdr:spPr bwMode="auto">
        <a:xfrm>
          <a:off x="9004300" y="1244600"/>
          <a:ext cx="1447968" cy="42411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twoCellAnchor>
  <xdr:oneCellAnchor>
    <xdr:from>
      <xdr:col>12</xdr:col>
      <xdr:colOff>47624</xdr:colOff>
      <xdr:row>4</xdr:row>
      <xdr:rowOff>38100</xdr:rowOff>
    </xdr:from>
    <xdr:ext cx="1381125" cy="427567"/>
    <xdr:sp macro="" textlink="">
      <xdr:nvSpPr>
        <xdr:cNvPr id="45" name="Drop Down 25" hidden="1">
          <a:extLst>
            <a:ext uri="{63B3BB69-23CF-44E3-9099-C40C66FF867C}">
              <a14:compatExt xmlns:a14="http://schemas.microsoft.com/office/drawing/2010/main" spid="_x0000_s12313"/>
            </a:ext>
            <a:ext uri="{FF2B5EF4-FFF2-40B4-BE49-F238E27FC236}">
              <a16:creationId xmlns="" xmlns:a16="http://schemas.microsoft.com/office/drawing/2014/main" id="{00000000-0008-0000-0200-000019300000}"/>
            </a:ext>
          </a:extLst>
        </xdr:cNvPr>
        <xdr:cNvSpPr/>
      </xdr:nvSpPr>
      <xdr:spPr>
        <a:xfrm>
          <a:off x="10664824" y="1257300"/>
          <a:ext cx="1381125" cy="427567"/>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0</xdr:colOff>
          <xdr:row>4</xdr:row>
          <xdr:rowOff>28575</xdr:rowOff>
        </xdr:from>
        <xdr:to>
          <xdr:col>19</xdr:col>
          <xdr:colOff>1295400</xdr:colOff>
          <xdr:row>4</xdr:row>
          <xdr:rowOff>428625</xdr:rowOff>
        </xdr:to>
        <xdr:sp macro="" textlink="">
          <xdr:nvSpPr>
            <xdr:cNvPr id="1048" name="Drop Down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xdr:oneCellAnchor>
    <xdr:from>
      <xdr:col>12</xdr:col>
      <xdr:colOff>76200</xdr:colOff>
      <xdr:row>4</xdr:row>
      <xdr:rowOff>28575</xdr:rowOff>
    </xdr:from>
    <xdr:ext cx="1447968" cy="424111"/>
    <xdr:sp macro="" textlink="">
      <xdr:nvSpPr>
        <xdr:cNvPr id="46" name="Drop Down 2">
          <a:extLst>
            <a:ext uri="{FF2B5EF4-FFF2-40B4-BE49-F238E27FC236}">
              <a16:creationId xmlns="" xmlns:a16="http://schemas.microsoft.com/office/drawing/2014/main" id="{0D37CEC4-7868-4A8E-AE55-3ED0A8E839E1}"/>
            </a:ext>
          </a:extLst>
        </xdr:cNvPr>
        <xdr:cNvSpPr/>
      </xdr:nvSpPr>
      <xdr:spPr bwMode="auto">
        <a:xfrm>
          <a:off x="10693400" y="1247775"/>
          <a:ext cx="1447968" cy="42411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13</xdr:col>
      <xdr:colOff>47624</xdr:colOff>
      <xdr:row>4</xdr:row>
      <xdr:rowOff>38100</xdr:rowOff>
    </xdr:from>
    <xdr:ext cx="1381125" cy="427567"/>
    <xdr:sp macro="" textlink="">
      <xdr:nvSpPr>
        <xdr:cNvPr id="47" name="Drop Down 25" hidden="1">
          <a:extLst>
            <a:ext uri="{63B3BB69-23CF-44E3-9099-C40C66FF867C}">
              <a14:compatExt xmlns:a14="http://schemas.microsoft.com/office/drawing/2010/main" spid="_x0000_s12313"/>
            </a:ext>
            <a:ext uri="{FF2B5EF4-FFF2-40B4-BE49-F238E27FC236}">
              <a16:creationId xmlns="" xmlns:a16="http://schemas.microsoft.com/office/drawing/2014/main" id="{00000000-0008-0000-0200-000019300000}"/>
            </a:ext>
          </a:extLst>
        </xdr:cNvPr>
        <xdr:cNvSpPr/>
      </xdr:nvSpPr>
      <xdr:spPr>
        <a:xfrm>
          <a:off x="10664824" y="1257300"/>
          <a:ext cx="1381125" cy="427567"/>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0</xdr:colOff>
          <xdr:row>4</xdr:row>
          <xdr:rowOff>28575</xdr:rowOff>
        </xdr:from>
        <xdr:to>
          <xdr:col>19</xdr:col>
          <xdr:colOff>1295400</xdr:colOff>
          <xdr:row>4</xdr:row>
          <xdr:rowOff>428625</xdr:rowOff>
        </xdr:to>
        <xdr:sp macro="" textlink="">
          <xdr:nvSpPr>
            <xdr:cNvPr id="1049" name="Drop Down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xdr:oneCellAnchor>
    <xdr:from>
      <xdr:col>13</xdr:col>
      <xdr:colOff>76200</xdr:colOff>
      <xdr:row>4</xdr:row>
      <xdr:rowOff>28575</xdr:rowOff>
    </xdr:from>
    <xdr:ext cx="1447968" cy="424111"/>
    <xdr:sp macro="" textlink="">
      <xdr:nvSpPr>
        <xdr:cNvPr id="48" name="Drop Down 2">
          <a:extLst>
            <a:ext uri="{FF2B5EF4-FFF2-40B4-BE49-F238E27FC236}">
              <a16:creationId xmlns="" xmlns:a16="http://schemas.microsoft.com/office/drawing/2014/main" id="{0D37CEC4-7868-4A8E-AE55-3ED0A8E839E1}"/>
            </a:ext>
          </a:extLst>
        </xdr:cNvPr>
        <xdr:cNvSpPr/>
      </xdr:nvSpPr>
      <xdr:spPr bwMode="auto">
        <a:xfrm>
          <a:off x="10693400" y="1247775"/>
          <a:ext cx="1447968" cy="42411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19</xdr:col>
      <xdr:colOff>47625</xdr:colOff>
      <xdr:row>4</xdr:row>
      <xdr:rowOff>38101</xdr:rowOff>
    </xdr:from>
    <xdr:ext cx="1459442" cy="406400"/>
    <xdr:sp macro="" textlink="">
      <xdr:nvSpPr>
        <xdr:cNvPr id="49" name="Drop Down 26" hidden="1">
          <a:extLst>
            <a:ext uri="{63B3BB69-23CF-44E3-9099-C40C66FF867C}">
              <a14:compatExt xmlns:a14="http://schemas.microsoft.com/office/drawing/2010/main" spid="_x0000_s12314"/>
            </a:ext>
            <a:ext uri="{FF2B5EF4-FFF2-40B4-BE49-F238E27FC236}">
              <a16:creationId xmlns="" xmlns:a16="http://schemas.microsoft.com/office/drawing/2014/main" id="{00000000-0008-0000-0200-00001A300000}"/>
            </a:ext>
          </a:extLst>
        </xdr:cNvPr>
        <xdr:cNvSpPr/>
      </xdr:nvSpPr>
      <xdr:spPr>
        <a:xfrm>
          <a:off x="15643225" y="1257301"/>
          <a:ext cx="1459442" cy="406400"/>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19</xdr:col>
          <xdr:colOff>19050</xdr:colOff>
          <xdr:row>4</xdr:row>
          <xdr:rowOff>28575</xdr:rowOff>
        </xdr:from>
        <xdr:to>
          <xdr:col>19</xdr:col>
          <xdr:colOff>1428750</xdr:colOff>
          <xdr:row>4</xdr:row>
          <xdr:rowOff>419100</xdr:rowOff>
        </xdr:to>
        <xdr:sp macro="" textlink="">
          <xdr:nvSpPr>
            <xdr:cNvPr id="1050" name="Drop Down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4</xdr:row>
          <xdr:rowOff>28575</xdr:rowOff>
        </xdr:from>
        <xdr:to>
          <xdr:col>19</xdr:col>
          <xdr:colOff>1514475</xdr:colOff>
          <xdr:row>4</xdr:row>
          <xdr:rowOff>428625</xdr:rowOff>
        </xdr:to>
        <xdr:sp macro="" textlink="">
          <xdr:nvSpPr>
            <xdr:cNvPr id="1051" name="Drop Down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xdr:oneCellAnchor>
    <xdr:from>
      <xdr:col>19</xdr:col>
      <xdr:colOff>76200</xdr:colOff>
      <xdr:row>4</xdr:row>
      <xdr:rowOff>28575</xdr:rowOff>
    </xdr:from>
    <xdr:ext cx="1447968" cy="424111"/>
    <xdr:sp macro="" textlink="">
      <xdr:nvSpPr>
        <xdr:cNvPr id="50" name="Drop Down 2">
          <a:extLst>
            <a:ext uri="{FF2B5EF4-FFF2-40B4-BE49-F238E27FC236}">
              <a16:creationId xmlns="" xmlns:a16="http://schemas.microsoft.com/office/drawing/2014/main" id="{0D37CEC4-7868-4A8E-AE55-3ED0A8E839E1}"/>
            </a:ext>
          </a:extLst>
        </xdr:cNvPr>
        <xdr:cNvSpPr/>
      </xdr:nvSpPr>
      <xdr:spPr bwMode="auto">
        <a:xfrm>
          <a:off x="15671800" y="1247775"/>
          <a:ext cx="1447968" cy="42411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14</xdr:col>
      <xdr:colOff>47624</xdr:colOff>
      <xdr:row>4</xdr:row>
      <xdr:rowOff>38100</xdr:rowOff>
    </xdr:from>
    <xdr:ext cx="1381125" cy="427567"/>
    <xdr:sp macro="" textlink="">
      <xdr:nvSpPr>
        <xdr:cNvPr id="51" name="Drop Down 25" hidden="1">
          <a:extLst>
            <a:ext uri="{63B3BB69-23CF-44E3-9099-C40C66FF867C}">
              <a14:compatExt xmlns:a14="http://schemas.microsoft.com/office/drawing/2010/main" spid="_x0000_s12313"/>
            </a:ext>
            <a:ext uri="{FF2B5EF4-FFF2-40B4-BE49-F238E27FC236}">
              <a16:creationId xmlns="" xmlns:a16="http://schemas.microsoft.com/office/drawing/2014/main" id="{00000000-0008-0000-0200-000019300000}"/>
            </a:ext>
          </a:extLst>
        </xdr:cNvPr>
        <xdr:cNvSpPr/>
      </xdr:nvSpPr>
      <xdr:spPr>
        <a:xfrm>
          <a:off x="10651359" y="1254546"/>
          <a:ext cx="1381125" cy="427567"/>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3</xdr:col>
          <xdr:colOff>0</xdr:colOff>
          <xdr:row>4</xdr:row>
          <xdr:rowOff>28575</xdr:rowOff>
        </xdr:from>
        <xdr:to>
          <xdr:col>19</xdr:col>
          <xdr:colOff>1295400</xdr:colOff>
          <xdr:row>4</xdr:row>
          <xdr:rowOff>428625</xdr:rowOff>
        </xdr:to>
        <xdr:sp macro="" textlink="">
          <xdr:nvSpPr>
            <xdr:cNvPr id="1052" name="Drop Down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xdr:oneCellAnchor>
    <xdr:from>
      <xdr:col>14</xdr:col>
      <xdr:colOff>76200</xdr:colOff>
      <xdr:row>4</xdr:row>
      <xdr:rowOff>28575</xdr:rowOff>
    </xdr:from>
    <xdr:ext cx="1447968" cy="424111"/>
    <xdr:sp macro="" textlink="">
      <xdr:nvSpPr>
        <xdr:cNvPr id="53" name="Drop Down 2">
          <a:extLst>
            <a:ext uri="{FF2B5EF4-FFF2-40B4-BE49-F238E27FC236}">
              <a16:creationId xmlns="" xmlns:a16="http://schemas.microsoft.com/office/drawing/2014/main" id="{0D37CEC4-7868-4A8E-AE55-3ED0A8E839E1}"/>
            </a:ext>
          </a:extLst>
        </xdr:cNvPr>
        <xdr:cNvSpPr/>
      </xdr:nvSpPr>
      <xdr:spPr bwMode="auto">
        <a:xfrm>
          <a:off x="10679935" y="1245021"/>
          <a:ext cx="1447968" cy="42411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20</xdr:col>
      <xdr:colOff>47625</xdr:colOff>
      <xdr:row>4</xdr:row>
      <xdr:rowOff>38101</xdr:rowOff>
    </xdr:from>
    <xdr:ext cx="1459442" cy="406400"/>
    <xdr:sp macro="" textlink="">
      <xdr:nvSpPr>
        <xdr:cNvPr id="54" name="Drop Down 26" hidden="1">
          <a:extLst>
            <a:ext uri="{63B3BB69-23CF-44E3-9099-C40C66FF867C}">
              <a14:compatExt xmlns:a14="http://schemas.microsoft.com/office/drawing/2010/main" spid="_x0000_s12314"/>
            </a:ext>
            <a:ext uri="{FF2B5EF4-FFF2-40B4-BE49-F238E27FC236}">
              <a16:creationId xmlns="" xmlns:a16="http://schemas.microsoft.com/office/drawing/2014/main" id="{00000000-0008-0000-0200-00001A300000}"/>
            </a:ext>
          </a:extLst>
        </xdr:cNvPr>
        <xdr:cNvSpPr/>
      </xdr:nvSpPr>
      <xdr:spPr>
        <a:xfrm>
          <a:off x="14013800" y="1254547"/>
          <a:ext cx="1459442" cy="406400"/>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20</xdr:col>
          <xdr:colOff>19050</xdr:colOff>
          <xdr:row>4</xdr:row>
          <xdr:rowOff>28575</xdr:rowOff>
        </xdr:from>
        <xdr:to>
          <xdr:col>20</xdr:col>
          <xdr:colOff>1428750</xdr:colOff>
          <xdr:row>4</xdr:row>
          <xdr:rowOff>419100</xdr:rowOff>
        </xdr:to>
        <xdr:sp macro="" textlink="">
          <xdr:nvSpPr>
            <xdr:cNvPr id="1053" name="Drop Down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4</xdr:row>
          <xdr:rowOff>28575</xdr:rowOff>
        </xdr:from>
        <xdr:to>
          <xdr:col>20</xdr:col>
          <xdr:colOff>1514475</xdr:colOff>
          <xdr:row>4</xdr:row>
          <xdr:rowOff>428625</xdr:rowOff>
        </xdr:to>
        <xdr:sp macro="" textlink="">
          <xdr:nvSpPr>
            <xdr:cNvPr id="1054" name="Drop Down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xdr:oneCellAnchor>
    <xdr:from>
      <xdr:col>20</xdr:col>
      <xdr:colOff>76200</xdr:colOff>
      <xdr:row>4</xdr:row>
      <xdr:rowOff>28575</xdr:rowOff>
    </xdr:from>
    <xdr:ext cx="1447968" cy="424111"/>
    <xdr:sp macro="" textlink="">
      <xdr:nvSpPr>
        <xdr:cNvPr id="57" name="Drop Down 2">
          <a:extLst>
            <a:ext uri="{FF2B5EF4-FFF2-40B4-BE49-F238E27FC236}">
              <a16:creationId xmlns="" xmlns:a16="http://schemas.microsoft.com/office/drawing/2014/main" id="{0D37CEC4-7868-4A8E-AE55-3ED0A8E839E1}"/>
            </a:ext>
          </a:extLst>
        </xdr:cNvPr>
        <xdr:cNvSpPr/>
      </xdr:nvSpPr>
      <xdr:spPr bwMode="auto">
        <a:xfrm>
          <a:off x="14042375" y="1245021"/>
          <a:ext cx="1447968" cy="42411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23</xdr:col>
      <xdr:colOff>47625</xdr:colOff>
      <xdr:row>4</xdr:row>
      <xdr:rowOff>38100</xdr:rowOff>
    </xdr:from>
    <xdr:ext cx="1558110" cy="438150"/>
    <xdr:sp macro="" textlink="">
      <xdr:nvSpPr>
        <xdr:cNvPr id="58" name="Drop Down 21" hidden="1">
          <a:extLst>
            <a:ext uri="{63B3BB69-23CF-44E3-9099-C40C66FF867C}">
              <a14:compatExt xmlns:a14="http://schemas.microsoft.com/office/drawing/2010/main" spid="_x0000_s12309"/>
            </a:ext>
            <a:ext uri="{FF2B5EF4-FFF2-40B4-BE49-F238E27FC236}">
              <a16:creationId xmlns="" xmlns:a16="http://schemas.microsoft.com/office/drawing/2014/main" id="{00000000-0008-0000-0200-000015300000}"/>
            </a:ext>
          </a:extLst>
        </xdr:cNvPr>
        <xdr:cNvSpPr/>
      </xdr:nvSpPr>
      <xdr:spPr>
        <a:xfrm>
          <a:off x="14208890" y="1254546"/>
          <a:ext cx="1558110" cy="438150"/>
        </a:xfrm>
        <a:prstGeom prst="rect">
          <a:avLst/>
        </a:prstGeom>
      </xdr:spPr>
    </xdr:sp>
    <xdr:clientData/>
  </xdr:oneCellAnchor>
  <xdr:oneCellAnchor>
    <xdr:from>
      <xdr:col>24</xdr:col>
      <xdr:colOff>47625</xdr:colOff>
      <xdr:row>4</xdr:row>
      <xdr:rowOff>38100</xdr:rowOff>
    </xdr:from>
    <xdr:ext cx="1654416" cy="428625"/>
    <xdr:sp macro="" textlink="">
      <xdr:nvSpPr>
        <xdr:cNvPr id="59" name="Drop Down 27" hidden="1">
          <a:extLst>
            <a:ext uri="{63B3BB69-23CF-44E3-9099-C40C66FF867C}">
              <a14:compatExt xmlns:a14="http://schemas.microsoft.com/office/drawing/2010/main" spid="_x0000_s12315"/>
            </a:ext>
            <a:ext uri="{FF2B5EF4-FFF2-40B4-BE49-F238E27FC236}">
              <a16:creationId xmlns="" xmlns:a16="http://schemas.microsoft.com/office/drawing/2014/main" id="{00000000-0008-0000-0200-00001B300000}"/>
            </a:ext>
          </a:extLst>
        </xdr:cNvPr>
        <xdr:cNvSpPr/>
      </xdr:nvSpPr>
      <xdr:spPr>
        <a:xfrm>
          <a:off x="15804041" y="1254546"/>
          <a:ext cx="1654416" cy="428625"/>
        </a:xfrm>
        <a:prstGeom prst="rect">
          <a:avLst/>
        </a:prstGeom>
      </xdr:spPr>
    </xdr:sp>
    <xdr:clientData/>
  </xdr:oneCellAnchor>
  <xdr:oneCellAnchor>
    <xdr:from>
      <xdr:col>24</xdr:col>
      <xdr:colOff>50800</xdr:colOff>
      <xdr:row>4</xdr:row>
      <xdr:rowOff>41275</xdr:rowOff>
    </xdr:from>
    <xdr:ext cx="1447968" cy="424111"/>
    <xdr:sp macro="" textlink="">
      <xdr:nvSpPr>
        <xdr:cNvPr id="60" name="Drop Down 2">
          <a:extLst>
            <a:ext uri="{FF2B5EF4-FFF2-40B4-BE49-F238E27FC236}">
              <a16:creationId xmlns="" xmlns:a16="http://schemas.microsoft.com/office/drawing/2014/main" id="{0D37CEC4-7868-4A8E-AE55-3ED0A8E839E1}"/>
            </a:ext>
          </a:extLst>
        </xdr:cNvPr>
        <xdr:cNvSpPr/>
      </xdr:nvSpPr>
      <xdr:spPr bwMode="auto">
        <a:xfrm>
          <a:off x="15807216" y="1257721"/>
          <a:ext cx="1447968" cy="42411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27</xdr:col>
      <xdr:colOff>47625</xdr:colOff>
      <xdr:row>4</xdr:row>
      <xdr:rowOff>38100</xdr:rowOff>
    </xdr:from>
    <xdr:ext cx="1493675" cy="448734"/>
    <xdr:sp macro="" textlink="">
      <xdr:nvSpPr>
        <xdr:cNvPr id="61" name="Drop Down 29" hidden="1">
          <a:extLst>
            <a:ext uri="{63B3BB69-23CF-44E3-9099-C40C66FF867C}">
              <a14:compatExt xmlns:a14="http://schemas.microsoft.com/office/drawing/2010/main" spid="_x0000_s12317"/>
            </a:ext>
            <a:ext uri="{FF2B5EF4-FFF2-40B4-BE49-F238E27FC236}">
              <a16:creationId xmlns="" xmlns:a16="http://schemas.microsoft.com/office/drawing/2014/main" id="{00000000-0008-0000-0200-00001D300000}"/>
            </a:ext>
          </a:extLst>
        </xdr:cNvPr>
        <xdr:cNvSpPr/>
      </xdr:nvSpPr>
      <xdr:spPr>
        <a:xfrm>
          <a:off x="20394402" y="1254546"/>
          <a:ext cx="1493675" cy="448734"/>
        </a:xfrm>
        <a:prstGeom prst="rect">
          <a:avLst/>
        </a:prstGeom>
      </xdr:spPr>
    </xdr:sp>
    <xdr:clientData/>
  </xdr:oneCellAnchor>
  <mc:AlternateContent xmlns:mc="http://schemas.openxmlformats.org/markup-compatibility/2006">
    <mc:Choice xmlns:a14="http://schemas.microsoft.com/office/drawing/2010/main" Requires="a14">
      <xdr:twoCellAnchor editAs="oneCell">
        <xdr:from>
          <xdr:col>27</xdr:col>
          <xdr:colOff>95250</xdr:colOff>
          <xdr:row>4</xdr:row>
          <xdr:rowOff>28575</xdr:rowOff>
        </xdr:from>
        <xdr:to>
          <xdr:col>27</xdr:col>
          <xdr:colOff>1457325</xdr:colOff>
          <xdr:row>4</xdr:row>
          <xdr:rowOff>466725</xdr:rowOff>
        </xdr:to>
        <xdr:sp macro="" textlink="">
          <xdr:nvSpPr>
            <xdr:cNvPr id="1055" name="Drop Down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xdr:oneCellAnchor>
    <xdr:from>
      <xdr:col>27</xdr:col>
      <xdr:colOff>76200</xdr:colOff>
      <xdr:row>4</xdr:row>
      <xdr:rowOff>28575</xdr:rowOff>
    </xdr:from>
    <xdr:ext cx="1447968" cy="424111"/>
    <xdr:sp macro="" textlink="">
      <xdr:nvSpPr>
        <xdr:cNvPr id="63" name="Drop Down 2">
          <a:extLst>
            <a:ext uri="{FF2B5EF4-FFF2-40B4-BE49-F238E27FC236}">
              <a16:creationId xmlns="" xmlns:a16="http://schemas.microsoft.com/office/drawing/2014/main" id="{0D37CEC4-7868-4A8E-AE55-3ED0A8E839E1}"/>
            </a:ext>
          </a:extLst>
        </xdr:cNvPr>
        <xdr:cNvSpPr/>
      </xdr:nvSpPr>
      <xdr:spPr bwMode="auto">
        <a:xfrm>
          <a:off x="20422977" y="1245021"/>
          <a:ext cx="1447968" cy="42411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bel.capistrano/Documents/SIG/SIG%20Cohort%204/Cohort%204%20-%20Programmatic%20and%20Budget%20Revision%20Requests/Hawkins%20SH/Request%20%231%20-%20Feb%202017/hawkins%20sh.budget.Feb%20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2a-Planning"/>
      <sheetName val="Form 2e-Restart"/>
      <sheetName val="Hawkins HS - CDAGS"/>
      <sheetName val="DATA Fields"/>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266"/>
  <sheetViews>
    <sheetView tabSelected="1" zoomScaleSheetLayoutView="100" workbookViewId="0">
      <selection activeCell="C7" sqref="C7:F7"/>
    </sheetView>
  </sheetViews>
  <sheetFormatPr defaultColWidth="9" defaultRowHeight="12.75" x14ac:dyDescent="0.2"/>
  <cols>
    <col min="1" max="1" width="28.42578125" style="86" customWidth="1"/>
    <col min="2" max="2" width="23.5703125" style="86" customWidth="1"/>
    <col min="3" max="3" width="19" style="86" customWidth="1"/>
    <col min="4" max="4" width="26.5703125" style="86" customWidth="1"/>
    <col min="5" max="5" width="9" style="86"/>
    <col min="6" max="6" width="41.140625" style="86" customWidth="1"/>
    <col min="7" max="256" width="9" style="86"/>
    <col min="257" max="257" width="28.42578125" style="86" customWidth="1"/>
    <col min="258" max="258" width="23.5703125" style="86" customWidth="1"/>
    <col min="259" max="259" width="19" style="86" customWidth="1"/>
    <col min="260" max="260" width="26.5703125" style="86" customWidth="1"/>
    <col min="261" max="261" width="9" style="86"/>
    <col min="262" max="262" width="41.140625" style="86" customWidth="1"/>
    <col min="263" max="512" width="9" style="86"/>
    <col min="513" max="513" width="28.42578125" style="86" customWidth="1"/>
    <col min="514" max="514" width="23.5703125" style="86" customWidth="1"/>
    <col min="515" max="515" width="19" style="86" customWidth="1"/>
    <col min="516" max="516" width="26.5703125" style="86" customWidth="1"/>
    <col min="517" max="517" width="9" style="86"/>
    <col min="518" max="518" width="41.140625" style="86" customWidth="1"/>
    <col min="519" max="768" width="9" style="86"/>
    <col min="769" max="769" width="28.42578125" style="86" customWidth="1"/>
    <col min="770" max="770" width="23.5703125" style="86" customWidth="1"/>
    <col min="771" max="771" width="19" style="86" customWidth="1"/>
    <col min="772" max="772" width="26.5703125" style="86" customWidth="1"/>
    <col min="773" max="773" width="9" style="86"/>
    <col min="774" max="774" width="41.140625" style="86" customWidth="1"/>
    <col min="775" max="1024" width="9" style="86"/>
    <col min="1025" max="1025" width="28.42578125" style="86" customWidth="1"/>
    <col min="1026" max="1026" width="23.5703125" style="86" customWidth="1"/>
    <col min="1027" max="1027" width="19" style="86" customWidth="1"/>
    <col min="1028" max="1028" width="26.5703125" style="86" customWidth="1"/>
    <col min="1029" max="1029" width="9" style="86"/>
    <col min="1030" max="1030" width="41.140625" style="86" customWidth="1"/>
    <col min="1031" max="1280" width="9" style="86"/>
    <col min="1281" max="1281" width="28.42578125" style="86" customWidth="1"/>
    <col min="1282" max="1282" width="23.5703125" style="86" customWidth="1"/>
    <col min="1283" max="1283" width="19" style="86" customWidth="1"/>
    <col min="1284" max="1284" width="26.5703125" style="86" customWidth="1"/>
    <col min="1285" max="1285" width="9" style="86"/>
    <col min="1286" max="1286" width="41.140625" style="86" customWidth="1"/>
    <col min="1287" max="1536" width="9" style="86"/>
    <col min="1537" max="1537" width="28.42578125" style="86" customWidth="1"/>
    <col min="1538" max="1538" width="23.5703125" style="86" customWidth="1"/>
    <col min="1539" max="1539" width="19" style="86" customWidth="1"/>
    <col min="1540" max="1540" width="26.5703125" style="86" customWidth="1"/>
    <col min="1541" max="1541" width="9" style="86"/>
    <col min="1542" max="1542" width="41.140625" style="86" customWidth="1"/>
    <col min="1543" max="1792" width="9" style="86"/>
    <col min="1793" max="1793" width="28.42578125" style="86" customWidth="1"/>
    <col min="1794" max="1794" width="23.5703125" style="86" customWidth="1"/>
    <col min="1795" max="1795" width="19" style="86" customWidth="1"/>
    <col min="1796" max="1796" width="26.5703125" style="86" customWidth="1"/>
    <col min="1797" max="1797" width="9" style="86"/>
    <col min="1798" max="1798" width="41.140625" style="86" customWidth="1"/>
    <col min="1799" max="2048" width="9" style="86"/>
    <col min="2049" max="2049" width="28.42578125" style="86" customWidth="1"/>
    <col min="2050" max="2050" width="23.5703125" style="86" customWidth="1"/>
    <col min="2051" max="2051" width="19" style="86" customWidth="1"/>
    <col min="2052" max="2052" width="26.5703125" style="86" customWidth="1"/>
    <col min="2053" max="2053" width="9" style="86"/>
    <col min="2054" max="2054" width="41.140625" style="86" customWidth="1"/>
    <col min="2055" max="2304" width="9" style="86"/>
    <col min="2305" max="2305" width="28.42578125" style="86" customWidth="1"/>
    <col min="2306" max="2306" width="23.5703125" style="86" customWidth="1"/>
    <col min="2307" max="2307" width="19" style="86" customWidth="1"/>
    <col min="2308" max="2308" width="26.5703125" style="86" customWidth="1"/>
    <col min="2309" max="2309" width="9" style="86"/>
    <col min="2310" max="2310" width="41.140625" style="86" customWidth="1"/>
    <col min="2311" max="2560" width="9" style="86"/>
    <col min="2561" max="2561" width="28.42578125" style="86" customWidth="1"/>
    <col min="2562" max="2562" width="23.5703125" style="86" customWidth="1"/>
    <col min="2563" max="2563" width="19" style="86" customWidth="1"/>
    <col min="2564" max="2564" width="26.5703125" style="86" customWidth="1"/>
    <col min="2565" max="2565" width="9" style="86"/>
    <col min="2566" max="2566" width="41.140625" style="86" customWidth="1"/>
    <col min="2567" max="2816" width="9" style="86"/>
    <col min="2817" max="2817" width="28.42578125" style="86" customWidth="1"/>
    <col min="2818" max="2818" width="23.5703125" style="86" customWidth="1"/>
    <col min="2819" max="2819" width="19" style="86" customWidth="1"/>
    <col min="2820" max="2820" width="26.5703125" style="86" customWidth="1"/>
    <col min="2821" max="2821" width="9" style="86"/>
    <col min="2822" max="2822" width="41.140625" style="86" customWidth="1"/>
    <col min="2823" max="3072" width="9" style="86"/>
    <col min="3073" max="3073" width="28.42578125" style="86" customWidth="1"/>
    <col min="3074" max="3074" width="23.5703125" style="86" customWidth="1"/>
    <col min="3075" max="3075" width="19" style="86" customWidth="1"/>
    <col min="3076" max="3076" width="26.5703125" style="86" customWidth="1"/>
    <col min="3077" max="3077" width="9" style="86"/>
    <col min="3078" max="3078" width="41.140625" style="86" customWidth="1"/>
    <col min="3079" max="3328" width="9" style="86"/>
    <col min="3329" max="3329" width="28.42578125" style="86" customWidth="1"/>
    <col min="3330" max="3330" width="23.5703125" style="86" customWidth="1"/>
    <col min="3331" max="3331" width="19" style="86" customWidth="1"/>
    <col min="3332" max="3332" width="26.5703125" style="86" customWidth="1"/>
    <col min="3333" max="3333" width="9" style="86"/>
    <col min="3334" max="3334" width="41.140625" style="86" customWidth="1"/>
    <col min="3335" max="3584" width="9" style="86"/>
    <col min="3585" max="3585" width="28.42578125" style="86" customWidth="1"/>
    <col min="3586" max="3586" width="23.5703125" style="86" customWidth="1"/>
    <col min="3587" max="3587" width="19" style="86" customWidth="1"/>
    <col min="3588" max="3588" width="26.5703125" style="86" customWidth="1"/>
    <col min="3589" max="3589" width="9" style="86"/>
    <col min="3590" max="3590" width="41.140625" style="86" customWidth="1"/>
    <col min="3591" max="3840" width="9" style="86"/>
    <col min="3841" max="3841" width="28.42578125" style="86" customWidth="1"/>
    <col min="3842" max="3842" width="23.5703125" style="86" customWidth="1"/>
    <col min="3843" max="3843" width="19" style="86" customWidth="1"/>
    <col min="3844" max="3844" width="26.5703125" style="86" customWidth="1"/>
    <col min="3845" max="3845" width="9" style="86"/>
    <col min="3846" max="3846" width="41.140625" style="86" customWidth="1"/>
    <col min="3847" max="4096" width="9" style="86"/>
    <col min="4097" max="4097" width="28.42578125" style="86" customWidth="1"/>
    <col min="4098" max="4098" width="23.5703125" style="86" customWidth="1"/>
    <col min="4099" max="4099" width="19" style="86" customWidth="1"/>
    <col min="4100" max="4100" width="26.5703125" style="86" customWidth="1"/>
    <col min="4101" max="4101" width="9" style="86"/>
    <col min="4102" max="4102" width="41.140625" style="86" customWidth="1"/>
    <col min="4103" max="4352" width="9" style="86"/>
    <col min="4353" max="4353" width="28.42578125" style="86" customWidth="1"/>
    <col min="4354" max="4354" width="23.5703125" style="86" customWidth="1"/>
    <col min="4355" max="4355" width="19" style="86" customWidth="1"/>
    <col min="4356" max="4356" width="26.5703125" style="86" customWidth="1"/>
    <col min="4357" max="4357" width="9" style="86"/>
    <col min="4358" max="4358" width="41.140625" style="86" customWidth="1"/>
    <col min="4359" max="4608" width="9" style="86"/>
    <col min="4609" max="4609" width="28.42578125" style="86" customWidth="1"/>
    <col min="4610" max="4610" width="23.5703125" style="86" customWidth="1"/>
    <col min="4611" max="4611" width="19" style="86" customWidth="1"/>
    <col min="4612" max="4612" width="26.5703125" style="86" customWidth="1"/>
    <col min="4613" max="4613" width="9" style="86"/>
    <col min="4614" max="4614" width="41.140625" style="86" customWidth="1"/>
    <col min="4615" max="4864" width="9" style="86"/>
    <col min="4865" max="4865" width="28.42578125" style="86" customWidth="1"/>
    <col min="4866" max="4866" width="23.5703125" style="86" customWidth="1"/>
    <col min="4867" max="4867" width="19" style="86" customWidth="1"/>
    <col min="4868" max="4868" width="26.5703125" style="86" customWidth="1"/>
    <col min="4869" max="4869" width="9" style="86"/>
    <col min="4870" max="4870" width="41.140625" style="86" customWidth="1"/>
    <col min="4871" max="5120" width="9" style="86"/>
    <col min="5121" max="5121" width="28.42578125" style="86" customWidth="1"/>
    <col min="5122" max="5122" width="23.5703125" style="86" customWidth="1"/>
    <col min="5123" max="5123" width="19" style="86" customWidth="1"/>
    <col min="5124" max="5124" width="26.5703125" style="86" customWidth="1"/>
    <col min="5125" max="5125" width="9" style="86"/>
    <col min="5126" max="5126" width="41.140625" style="86" customWidth="1"/>
    <col min="5127" max="5376" width="9" style="86"/>
    <col min="5377" max="5377" width="28.42578125" style="86" customWidth="1"/>
    <col min="5378" max="5378" width="23.5703125" style="86" customWidth="1"/>
    <col min="5379" max="5379" width="19" style="86" customWidth="1"/>
    <col min="5380" max="5380" width="26.5703125" style="86" customWidth="1"/>
    <col min="5381" max="5381" width="9" style="86"/>
    <col min="5382" max="5382" width="41.140625" style="86" customWidth="1"/>
    <col min="5383" max="5632" width="9" style="86"/>
    <col min="5633" max="5633" width="28.42578125" style="86" customWidth="1"/>
    <col min="5634" max="5634" width="23.5703125" style="86" customWidth="1"/>
    <col min="5635" max="5635" width="19" style="86" customWidth="1"/>
    <col min="5636" max="5636" width="26.5703125" style="86" customWidth="1"/>
    <col min="5637" max="5637" width="9" style="86"/>
    <col min="5638" max="5638" width="41.140625" style="86" customWidth="1"/>
    <col min="5639" max="5888" width="9" style="86"/>
    <col min="5889" max="5889" width="28.42578125" style="86" customWidth="1"/>
    <col min="5890" max="5890" width="23.5703125" style="86" customWidth="1"/>
    <col min="5891" max="5891" width="19" style="86" customWidth="1"/>
    <col min="5892" max="5892" width="26.5703125" style="86" customWidth="1"/>
    <col min="5893" max="5893" width="9" style="86"/>
    <col min="5894" max="5894" width="41.140625" style="86" customWidth="1"/>
    <col min="5895" max="6144" width="9" style="86"/>
    <col min="6145" max="6145" width="28.42578125" style="86" customWidth="1"/>
    <col min="6146" max="6146" width="23.5703125" style="86" customWidth="1"/>
    <col min="6147" max="6147" width="19" style="86" customWidth="1"/>
    <col min="6148" max="6148" width="26.5703125" style="86" customWidth="1"/>
    <col min="6149" max="6149" width="9" style="86"/>
    <col min="6150" max="6150" width="41.140625" style="86" customWidth="1"/>
    <col min="6151" max="6400" width="9" style="86"/>
    <col min="6401" max="6401" width="28.42578125" style="86" customWidth="1"/>
    <col min="6402" max="6402" width="23.5703125" style="86" customWidth="1"/>
    <col min="6403" max="6403" width="19" style="86" customWidth="1"/>
    <col min="6404" max="6404" width="26.5703125" style="86" customWidth="1"/>
    <col min="6405" max="6405" width="9" style="86"/>
    <col min="6406" max="6406" width="41.140625" style="86" customWidth="1"/>
    <col min="6407" max="6656" width="9" style="86"/>
    <col min="6657" max="6657" width="28.42578125" style="86" customWidth="1"/>
    <col min="6658" max="6658" width="23.5703125" style="86" customWidth="1"/>
    <col min="6659" max="6659" width="19" style="86" customWidth="1"/>
    <col min="6660" max="6660" width="26.5703125" style="86" customWidth="1"/>
    <col min="6661" max="6661" width="9" style="86"/>
    <col min="6662" max="6662" width="41.140625" style="86" customWidth="1"/>
    <col min="6663" max="6912" width="9" style="86"/>
    <col min="6913" max="6913" width="28.42578125" style="86" customWidth="1"/>
    <col min="6914" max="6914" width="23.5703125" style="86" customWidth="1"/>
    <col min="6915" max="6915" width="19" style="86" customWidth="1"/>
    <col min="6916" max="6916" width="26.5703125" style="86" customWidth="1"/>
    <col min="6917" max="6917" width="9" style="86"/>
    <col min="6918" max="6918" width="41.140625" style="86" customWidth="1"/>
    <col min="6919" max="7168" width="9" style="86"/>
    <col min="7169" max="7169" width="28.42578125" style="86" customWidth="1"/>
    <col min="7170" max="7170" width="23.5703125" style="86" customWidth="1"/>
    <col min="7171" max="7171" width="19" style="86" customWidth="1"/>
    <col min="7172" max="7172" width="26.5703125" style="86" customWidth="1"/>
    <col min="7173" max="7173" width="9" style="86"/>
    <col min="7174" max="7174" width="41.140625" style="86" customWidth="1"/>
    <col min="7175" max="7424" width="9" style="86"/>
    <col min="7425" max="7425" width="28.42578125" style="86" customWidth="1"/>
    <col min="7426" max="7426" width="23.5703125" style="86" customWidth="1"/>
    <col min="7427" max="7427" width="19" style="86" customWidth="1"/>
    <col min="7428" max="7428" width="26.5703125" style="86" customWidth="1"/>
    <col min="7429" max="7429" width="9" style="86"/>
    <col min="7430" max="7430" width="41.140625" style="86" customWidth="1"/>
    <col min="7431" max="7680" width="9" style="86"/>
    <col min="7681" max="7681" width="28.42578125" style="86" customWidth="1"/>
    <col min="7682" max="7682" width="23.5703125" style="86" customWidth="1"/>
    <col min="7683" max="7683" width="19" style="86" customWidth="1"/>
    <col min="7684" max="7684" width="26.5703125" style="86" customWidth="1"/>
    <col min="7685" max="7685" width="9" style="86"/>
    <col min="7686" max="7686" width="41.140625" style="86" customWidth="1"/>
    <col min="7687" max="7936" width="9" style="86"/>
    <col min="7937" max="7937" width="28.42578125" style="86" customWidth="1"/>
    <col min="7938" max="7938" width="23.5703125" style="86" customWidth="1"/>
    <col min="7939" max="7939" width="19" style="86" customWidth="1"/>
    <col min="7940" max="7940" width="26.5703125" style="86" customWidth="1"/>
    <col min="7941" max="7941" width="9" style="86"/>
    <col min="7942" max="7942" width="41.140625" style="86" customWidth="1"/>
    <col min="7943" max="8192" width="9" style="86"/>
    <col min="8193" max="8193" width="28.42578125" style="86" customWidth="1"/>
    <col min="8194" max="8194" width="23.5703125" style="86" customWidth="1"/>
    <col min="8195" max="8195" width="19" style="86" customWidth="1"/>
    <col min="8196" max="8196" width="26.5703125" style="86" customWidth="1"/>
    <col min="8197" max="8197" width="9" style="86"/>
    <col min="8198" max="8198" width="41.140625" style="86" customWidth="1"/>
    <col min="8199" max="8448" width="9" style="86"/>
    <col min="8449" max="8449" width="28.42578125" style="86" customWidth="1"/>
    <col min="8450" max="8450" width="23.5703125" style="86" customWidth="1"/>
    <col min="8451" max="8451" width="19" style="86" customWidth="1"/>
    <col min="8452" max="8452" width="26.5703125" style="86" customWidth="1"/>
    <col min="8453" max="8453" width="9" style="86"/>
    <col min="8454" max="8454" width="41.140625" style="86" customWidth="1"/>
    <col min="8455" max="8704" width="9" style="86"/>
    <col min="8705" max="8705" width="28.42578125" style="86" customWidth="1"/>
    <col min="8706" max="8706" width="23.5703125" style="86" customWidth="1"/>
    <col min="8707" max="8707" width="19" style="86" customWidth="1"/>
    <col min="8708" max="8708" width="26.5703125" style="86" customWidth="1"/>
    <col min="8709" max="8709" width="9" style="86"/>
    <col min="8710" max="8710" width="41.140625" style="86" customWidth="1"/>
    <col min="8711" max="8960" width="9" style="86"/>
    <col min="8961" max="8961" width="28.42578125" style="86" customWidth="1"/>
    <col min="8962" max="8962" width="23.5703125" style="86" customWidth="1"/>
    <col min="8963" max="8963" width="19" style="86" customWidth="1"/>
    <col min="8964" max="8964" width="26.5703125" style="86" customWidth="1"/>
    <col min="8965" max="8965" width="9" style="86"/>
    <col min="8966" max="8966" width="41.140625" style="86" customWidth="1"/>
    <col min="8967" max="9216" width="9" style="86"/>
    <col min="9217" max="9217" width="28.42578125" style="86" customWidth="1"/>
    <col min="9218" max="9218" width="23.5703125" style="86" customWidth="1"/>
    <col min="9219" max="9219" width="19" style="86" customWidth="1"/>
    <col min="9220" max="9220" width="26.5703125" style="86" customWidth="1"/>
    <col min="9221" max="9221" width="9" style="86"/>
    <col min="9222" max="9222" width="41.140625" style="86" customWidth="1"/>
    <col min="9223" max="9472" width="9" style="86"/>
    <col min="9473" max="9473" width="28.42578125" style="86" customWidth="1"/>
    <col min="9474" max="9474" width="23.5703125" style="86" customWidth="1"/>
    <col min="9475" max="9475" width="19" style="86" customWidth="1"/>
    <col min="9476" max="9476" width="26.5703125" style="86" customWidth="1"/>
    <col min="9477" max="9477" width="9" style="86"/>
    <col min="9478" max="9478" width="41.140625" style="86" customWidth="1"/>
    <col min="9479" max="9728" width="9" style="86"/>
    <col min="9729" max="9729" width="28.42578125" style="86" customWidth="1"/>
    <col min="9730" max="9730" width="23.5703125" style="86" customWidth="1"/>
    <col min="9731" max="9731" width="19" style="86" customWidth="1"/>
    <col min="9732" max="9732" width="26.5703125" style="86" customWidth="1"/>
    <col min="9733" max="9733" width="9" style="86"/>
    <col min="9734" max="9734" width="41.140625" style="86" customWidth="1"/>
    <col min="9735" max="9984" width="9" style="86"/>
    <col min="9985" max="9985" width="28.42578125" style="86" customWidth="1"/>
    <col min="9986" max="9986" width="23.5703125" style="86" customWidth="1"/>
    <col min="9987" max="9987" width="19" style="86" customWidth="1"/>
    <col min="9988" max="9988" width="26.5703125" style="86" customWidth="1"/>
    <col min="9989" max="9989" width="9" style="86"/>
    <col min="9990" max="9990" width="41.140625" style="86" customWidth="1"/>
    <col min="9991" max="10240" width="9" style="86"/>
    <col min="10241" max="10241" width="28.42578125" style="86" customWidth="1"/>
    <col min="10242" max="10242" width="23.5703125" style="86" customWidth="1"/>
    <col min="10243" max="10243" width="19" style="86" customWidth="1"/>
    <col min="10244" max="10244" width="26.5703125" style="86" customWidth="1"/>
    <col min="10245" max="10245" width="9" style="86"/>
    <col min="10246" max="10246" width="41.140625" style="86" customWidth="1"/>
    <col min="10247" max="10496" width="9" style="86"/>
    <col min="10497" max="10497" width="28.42578125" style="86" customWidth="1"/>
    <col min="10498" max="10498" width="23.5703125" style="86" customWidth="1"/>
    <col min="10499" max="10499" width="19" style="86" customWidth="1"/>
    <col min="10500" max="10500" width="26.5703125" style="86" customWidth="1"/>
    <col min="10501" max="10501" width="9" style="86"/>
    <col min="10502" max="10502" width="41.140625" style="86" customWidth="1"/>
    <col min="10503" max="10752" width="9" style="86"/>
    <col min="10753" max="10753" width="28.42578125" style="86" customWidth="1"/>
    <col min="10754" max="10754" width="23.5703125" style="86" customWidth="1"/>
    <col min="10755" max="10755" width="19" style="86" customWidth="1"/>
    <col min="10756" max="10756" width="26.5703125" style="86" customWidth="1"/>
    <col min="10757" max="10757" width="9" style="86"/>
    <col min="10758" max="10758" width="41.140625" style="86" customWidth="1"/>
    <col min="10759" max="11008" width="9" style="86"/>
    <col min="11009" max="11009" width="28.42578125" style="86" customWidth="1"/>
    <col min="11010" max="11010" width="23.5703125" style="86" customWidth="1"/>
    <col min="11011" max="11011" width="19" style="86" customWidth="1"/>
    <col min="11012" max="11012" width="26.5703125" style="86" customWidth="1"/>
    <col min="11013" max="11013" width="9" style="86"/>
    <col min="11014" max="11014" width="41.140625" style="86" customWidth="1"/>
    <col min="11015" max="11264" width="9" style="86"/>
    <col min="11265" max="11265" width="28.42578125" style="86" customWidth="1"/>
    <col min="11266" max="11266" width="23.5703125" style="86" customWidth="1"/>
    <col min="11267" max="11267" width="19" style="86" customWidth="1"/>
    <col min="11268" max="11268" width="26.5703125" style="86" customWidth="1"/>
    <col min="11269" max="11269" width="9" style="86"/>
    <col min="11270" max="11270" width="41.140625" style="86" customWidth="1"/>
    <col min="11271" max="11520" width="9" style="86"/>
    <col min="11521" max="11521" width="28.42578125" style="86" customWidth="1"/>
    <col min="11522" max="11522" width="23.5703125" style="86" customWidth="1"/>
    <col min="11523" max="11523" width="19" style="86" customWidth="1"/>
    <col min="11524" max="11524" width="26.5703125" style="86" customWidth="1"/>
    <col min="11525" max="11525" width="9" style="86"/>
    <col min="11526" max="11526" width="41.140625" style="86" customWidth="1"/>
    <col min="11527" max="11776" width="9" style="86"/>
    <col min="11777" max="11777" width="28.42578125" style="86" customWidth="1"/>
    <col min="11778" max="11778" width="23.5703125" style="86" customWidth="1"/>
    <col min="11779" max="11779" width="19" style="86" customWidth="1"/>
    <col min="11780" max="11780" width="26.5703125" style="86" customWidth="1"/>
    <col min="11781" max="11781" width="9" style="86"/>
    <col min="11782" max="11782" width="41.140625" style="86" customWidth="1"/>
    <col min="11783" max="12032" width="9" style="86"/>
    <col min="12033" max="12033" width="28.42578125" style="86" customWidth="1"/>
    <col min="12034" max="12034" width="23.5703125" style="86" customWidth="1"/>
    <col min="12035" max="12035" width="19" style="86" customWidth="1"/>
    <col min="12036" max="12036" width="26.5703125" style="86" customWidth="1"/>
    <col min="12037" max="12037" width="9" style="86"/>
    <col min="12038" max="12038" width="41.140625" style="86" customWidth="1"/>
    <col min="12039" max="12288" width="9" style="86"/>
    <col min="12289" max="12289" width="28.42578125" style="86" customWidth="1"/>
    <col min="12290" max="12290" width="23.5703125" style="86" customWidth="1"/>
    <col min="12291" max="12291" width="19" style="86" customWidth="1"/>
    <col min="12292" max="12292" width="26.5703125" style="86" customWidth="1"/>
    <col min="12293" max="12293" width="9" style="86"/>
    <col min="12294" max="12294" width="41.140625" style="86" customWidth="1"/>
    <col min="12295" max="12544" width="9" style="86"/>
    <col min="12545" max="12545" width="28.42578125" style="86" customWidth="1"/>
    <col min="12546" max="12546" width="23.5703125" style="86" customWidth="1"/>
    <col min="12547" max="12547" width="19" style="86" customWidth="1"/>
    <col min="12548" max="12548" width="26.5703125" style="86" customWidth="1"/>
    <col min="12549" max="12549" width="9" style="86"/>
    <col min="12550" max="12550" width="41.140625" style="86" customWidth="1"/>
    <col min="12551" max="12800" width="9" style="86"/>
    <col min="12801" max="12801" width="28.42578125" style="86" customWidth="1"/>
    <col min="12802" max="12802" width="23.5703125" style="86" customWidth="1"/>
    <col min="12803" max="12803" width="19" style="86" customWidth="1"/>
    <col min="12804" max="12804" width="26.5703125" style="86" customWidth="1"/>
    <col min="12805" max="12805" width="9" style="86"/>
    <col min="12806" max="12806" width="41.140625" style="86" customWidth="1"/>
    <col min="12807" max="13056" width="9" style="86"/>
    <col min="13057" max="13057" width="28.42578125" style="86" customWidth="1"/>
    <col min="13058" max="13058" width="23.5703125" style="86" customWidth="1"/>
    <col min="13059" max="13059" width="19" style="86" customWidth="1"/>
    <col min="13060" max="13060" width="26.5703125" style="86" customWidth="1"/>
    <col min="13061" max="13061" width="9" style="86"/>
    <col min="13062" max="13062" width="41.140625" style="86" customWidth="1"/>
    <col min="13063" max="13312" width="9" style="86"/>
    <col min="13313" max="13313" width="28.42578125" style="86" customWidth="1"/>
    <col min="13314" max="13314" width="23.5703125" style="86" customWidth="1"/>
    <col min="13315" max="13315" width="19" style="86" customWidth="1"/>
    <col min="13316" max="13316" width="26.5703125" style="86" customWidth="1"/>
    <col min="13317" max="13317" width="9" style="86"/>
    <col min="13318" max="13318" width="41.140625" style="86" customWidth="1"/>
    <col min="13319" max="13568" width="9" style="86"/>
    <col min="13569" max="13569" width="28.42578125" style="86" customWidth="1"/>
    <col min="13570" max="13570" width="23.5703125" style="86" customWidth="1"/>
    <col min="13571" max="13571" width="19" style="86" customWidth="1"/>
    <col min="13572" max="13572" width="26.5703125" style="86" customWidth="1"/>
    <col min="13573" max="13573" width="9" style="86"/>
    <col min="13574" max="13574" width="41.140625" style="86" customWidth="1"/>
    <col min="13575" max="13824" width="9" style="86"/>
    <col min="13825" max="13825" width="28.42578125" style="86" customWidth="1"/>
    <col min="13826" max="13826" width="23.5703125" style="86" customWidth="1"/>
    <col min="13827" max="13827" width="19" style="86" customWidth="1"/>
    <col min="13828" max="13828" width="26.5703125" style="86" customWidth="1"/>
    <col min="13829" max="13829" width="9" style="86"/>
    <col min="13830" max="13830" width="41.140625" style="86" customWidth="1"/>
    <col min="13831" max="14080" width="9" style="86"/>
    <col min="14081" max="14081" width="28.42578125" style="86" customWidth="1"/>
    <col min="14082" max="14082" width="23.5703125" style="86" customWidth="1"/>
    <col min="14083" max="14083" width="19" style="86" customWidth="1"/>
    <col min="14084" max="14084" width="26.5703125" style="86" customWidth="1"/>
    <col min="14085" max="14085" width="9" style="86"/>
    <col min="14086" max="14086" width="41.140625" style="86" customWidth="1"/>
    <col min="14087" max="14336" width="9" style="86"/>
    <col min="14337" max="14337" width="28.42578125" style="86" customWidth="1"/>
    <col min="14338" max="14338" width="23.5703125" style="86" customWidth="1"/>
    <col min="14339" max="14339" width="19" style="86" customWidth="1"/>
    <col min="14340" max="14340" width="26.5703125" style="86" customWidth="1"/>
    <col min="14341" max="14341" width="9" style="86"/>
    <col min="14342" max="14342" width="41.140625" style="86" customWidth="1"/>
    <col min="14343" max="14592" width="9" style="86"/>
    <col min="14593" max="14593" width="28.42578125" style="86" customWidth="1"/>
    <col min="14594" max="14594" width="23.5703125" style="86" customWidth="1"/>
    <col min="14595" max="14595" width="19" style="86" customWidth="1"/>
    <col min="14596" max="14596" width="26.5703125" style="86" customWidth="1"/>
    <col min="14597" max="14597" width="9" style="86"/>
    <col min="14598" max="14598" width="41.140625" style="86" customWidth="1"/>
    <col min="14599" max="14848" width="9" style="86"/>
    <col min="14849" max="14849" width="28.42578125" style="86" customWidth="1"/>
    <col min="14850" max="14850" width="23.5703125" style="86" customWidth="1"/>
    <col min="14851" max="14851" width="19" style="86" customWidth="1"/>
    <col min="14852" max="14852" width="26.5703125" style="86" customWidth="1"/>
    <col min="14853" max="14853" width="9" style="86"/>
    <col min="14854" max="14854" width="41.140625" style="86" customWidth="1"/>
    <col min="14855" max="15104" width="9" style="86"/>
    <col min="15105" max="15105" width="28.42578125" style="86" customWidth="1"/>
    <col min="15106" max="15106" width="23.5703125" style="86" customWidth="1"/>
    <col min="15107" max="15107" width="19" style="86" customWidth="1"/>
    <col min="15108" max="15108" width="26.5703125" style="86" customWidth="1"/>
    <col min="15109" max="15109" width="9" style="86"/>
    <col min="15110" max="15110" width="41.140625" style="86" customWidth="1"/>
    <col min="15111" max="15360" width="9" style="86"/>
    <col min="15361" max="15361" width="28.42578125" style="86" customWidth="1"/>
    <col min="15362" max="15362" width="23.5703125" style="86" customWidth="1"/>
    <col min="15363" max="15363" width="19" style="86" customWidth="1"/>
    <col min="15364" max="15364" width="26.5703125" style="86" customWidth="1"/>
    <col min="15365" max="15365" width="9" style="86"/>
    <col min="15366" max="15366" width="41.140625" style="86" customWidth="1"/>
    <col min="15367" max="15616" width="9" style="86"/>
    <col min="15617" max="15617" width="28.42578125" style="86" customWidth="1"/>
    <col min="15618" max="15618" width="23.5703125" style="86" customWidth="1"/>
    <col min="15619" max="15619" width="19" style="86" customWidth="1"/>
    <col min="15620" max="15620" width="26.5703125" style="86" customWidth="1"/>
    <col min="15621" max="15621" width="9" style="86"/>
    <col min="15622" max="15622" width="41.140625" style="86" customWidth="1"/>
    <col min="15623" max="15872" width="9" style="86"/>
    <col min="15873" max="15873" width="28.42578125" style="86" customWidth="1"/>
    <col min="15874" max="15874" width="23.5703125" style="86" customWidth="1"/>
    <col min="15875" max="15875" width="19" style="86" customWidth="1"/>
    <col min="15876" max="15876" width="26.5703125" style="86" customWidth="1"/>
    <col min="15877" max="15877" width="9" style="86"/>
    <col min="15878" max="15878" width="41.140625" style="86" customWidth="1"/>
    <col min="15879" max="16128" width="9" style="86"/>
    <col min="16129" max="16129" width="28.42578125" style="86" customWidth="1"/>
    <col min="16130" max="16130" width="23.5703125" style="86" customWidth="1"/>
    <col min="16131" max="16131" width="19" style="86" customWidth="1"/>
    <col min="16132" max="16132" width="26.5703125" style="86" customWidth="1"/>
    <col min="16133" max="16133" width="9" style="86"/>
    <col min="16134" max="16134" width="41.140625" style="86" customWidth="1"/>
    <col min="16135" max="16384" width="9" style="86"/>
  </cols>
  <sheetData>
    <row r="1" spans="1:6" ht="11.25" customHeight="1" x14ac:dyDescent="0.2"/>
    <row r="2" spans="1:6" ht="15.75" x14ac:dyDescent="0.25">
      <c r="A2" s="153" t="s">
        <v>106</v>
      </c>
      <c r="B2" s="153"/>
      <c r="C2" s="153"/>
      <c r="D2" s="153"/>
      <c r="E2" s="153"/>
      <c r="F2" s="153"/>
    </row>
    <row r="3" spans="1:6" ht="27" customHeight="1" x14ac:dyDescent="0.2">
      <c r="A3" s="154" t="s">
        <v>0</v>
      </c>
      <c r="B3" s="155"/>
      <c r="C3" s="155"/>
      <c r="D3" s="156"/>
      <c r="E3" s="157" t="s">
        <v>108</v>
      </c>
      <c r="F3" s="158"/>
    </row>
    <row r="4" spans="1:6" ht="27" customHeight="1" thickBot="1" x14ac:dyDescent="0.25">
      <c r="A4" s="159" t="s">
        <v>1</v>
      </c>
      <c r="B4" s="160"/>
      <c r="C4" s="160"/>
      <c r="D4" s="160"/>
      <c r="E4" s="160"/>
      <c r="F4" s="160"/>
    </row>
    <row r="5" spans="1:6" ht="60" customHeight="1" thickBot="1" x14ac:dyDescent="0.25">
      <c r="A5" s="87" t="s">
        <v>2</v>
      </c>
      <c r="B5" s="87" t="s">
        <v>3</v>
      </c>
      <c r="C5" s="161" t="s">
        <v>4</v>
      </c>
      <c r="D5" s="161"/>
      <c r="E5" s="161"/>
      <c r="F5" s="162"/>
    </row>
    <row r="6" spans="1:6" ht="141.75" customHeight="1" x14ac:dyDescent="0.2">
      <c r="A6" s="88" t="s">
        <v>5</v>
      </c>
      <c r="B6" s="89" t="s">
        <v>6</v>
      </c>
      <c r="C6" s="150" t="s">
        <v>107</v>
      </c>
      <c r="D6" s="151"/>
      <c r="E6" s="151"/>
      <c r="F6" s="152"/>
    </row>
    <row r="7" spans="1:6" ht="320.25" customHeight="1" x14ac:dyDescent="0.2">
      <c r="A7" s="90" t="s">
        <v>7</v>
      </c>
      <c r="B7" s="91" t="s">
        <v>6</v>
      </c>
      <c r="C7" s="165" t="s">
        <v>109</v>
      </c>
      <c r="D7" s="166"/>
      <c r="E7" s="166"/>
      <c r="F7" s="167"/>
    </row>
    <row r="8" spans="1:6" ht="141" customHeight="1" x14ac:dyDescent="0.2">
      <c r="A8" s="90" t="s">
        <v>8</v>
      </c>
      <c r="B8" s="91" t="s">
        <v>9</v>
      </c>
      <c r="C8" s="165" t="s">
        <v>110</v>
      </c>
      <c r="D8" s="166"/>
      <c r="E8" s="166"/>
      <c r="F8" s="167"/>
    </row>
    <row r="9" spans="1:6" ht="186.75" customHeight="1" x14ac:dyDescent="0.2">
      <c r="A9" s="90" t="s">
        <v>8</v>
      </c>
      <c r="B9" s="91" t="s">
        <v>6</v>
      </c>
      <c r="C9" s="165" t="s">
        <v>111</v>
      </c>
      <c r="D9" s="166"/>
      <c r="E9" s="166"/>
      <c r="F9" s="167"/>
    </row>
    <row r="10" spans="1:6" ht="113.25" customHeight="1" x14ac:dyDescent="0.2">
      <c r="A10" s="90" t="s">
        <v>8</v>
      </c>
      <c r="B10" s="91" t="s">
        <v>10</v>
      </c>
      <c r="C10" s="168" t="s">
        <v>112</v>
      </c>
      <c r="D10" s="168"/>
      <c r="E10" s="168"/>
      <c r="F10" s="169"/>
    </row>
    <row r="11" spans="1:6" ht="292.5" customHeight="1" x14ac:dyDescent="0.2">
      <c r="A11" s="90" t="s">
        <v>8</v>
      </c>
      <c r="B11" s="91" t="s">
        <v>6</v>
      </c>
      <c r="C11" s="168" t="s">
        <v>120</v>
      </c>
      <c r="D11" s="168"/>
      <c r="E11" s="168"/>
      <c r="F11" s="169"/>
    </row>
    <row r="12" spans="1:6" ht="90.75" customHeight="1" x14ac:dyDescent="0.2">
      <c r="A12" s="90" t="s">
        <v>11</v>
      </c>
      <c r="B12" s="91" t="s">
        <v>6</v>
      </c>
      <c r="C12" s="168" t="s">
        <v>119</v>
      </c>
      <c r="D12" s="168"/>
      <c r="E12" s="168"/>
      <c r="F12" s="169"/>
    </row>
    <row r="13" spans="1:6" ht="186" customHeight="1" x14ac:dyDescent="0.2">
      <c r="A13" s="90" t="s">
        <v>12</v>
      </c>
      <c r="B13" s="91" t="s">
        <v>13</v>
      </c>
      <c r="C13" s="168" t="s">
        <v>113</v>
      </c>
      <c r="D13" s="168"/>
      <c r="E13" s="168"/>
      <c r="F13" s="169"/>
    </row>
    <row r="14" spans="1:6" ht="161.25" customHeight="1" x14ac:dyDescent="0.2">
      <c r="A14" s="90" t="s">
        <v>12</v>
      </c>
      <c r="B14" s="91" t="s">
        <v>14</v>
      </c>
      <c r="C14" s="165" t="s">
        <v>114</v>
      </c>
      <c r="D14" s="170"/>
      <c r="E14" s="170"/>
      <c r="F14" s="171"/>
    </row>
    <row r="15" spans="1:6" ht="175.5" customHeight="1" x14ac:dyDescent="0.2">
      <c r="A15" s="90" t="s">
        <v>15</v>
      </c>
      <c r="B15" s="91" t="s">
        <v>16</v>
      </c>
      <c r="C15" s="165" t="s">
        <v>115</v>
      </c>
      <c r="D15" s="170"/>
      <c r="E15" s="170"/>
      <c r="F15" s="171"/>
    </row>
    <row r="16" spans="1:6" ht="249" customHeight="1" x14ac:dyDescent="0.2">
      <c r="A16" s="90" t="s">
        <v>17</v>
      </c>
      <c r="B16" s="91" t="s">
        <v>10</v>
      </c>
      <c r="C16" s="165" t="s">
        <v>116</v>
      </c>
      <c r="D16" s="170"/>
      <c r="E16" s="170"/>
      <c r="F16" s="171"/>
    </row>
    <row r="17" spans="1:6" ht="409.5" customHeight="1" x14ac:dyDescent="0.2">
      <c r="A17" s="90" t="s">
        <v>17</v>
      </c>
      <c r="B17" s="91" t="s">
        <v>10</v>
      </c>
      <c r="C17" s="165" t="s">
        <v>117</v>
      </c>
      <c r="D17" s="166"/>
      <c r="E17" s="166"/>
      <c r="F17" s="167"/>
    </row>
    <row r="18" spans="1:6" ht="234.75" customHeight="1" thickBot="1" x14ac:dyDescent="0.25">
      <c r="A18" s="92" t="s">
        <v>17</v>
      </c>
      <c r="B18" s="85" t="s">
        <v>6</v>
      </c>
      <c r="C18" s="163" t="s">
        <v>118</v>
      </c>
      <c r="D18" s="163"/>
      <c r="E18" s="163"/>
      <c r="F18" s="164"/>
    </row>
    <row r="19" spans="1:6" x14ac:dyDescent="0.2">
      <c r="B19" s="93"/>
      <c r="D19" s="93"/>
    </row>
    <row r="20" spans="1:6" x14ac:dyDescent="0.2">
      <c r="B20" s="93"/>
      <c r="D20" s="93"/>
    </row>
    <row r="21" spans="1:6" x14ac:dyDescent="0.2">
      <c r="B21" s="93"/>
      <c r="D21" s="93"/>
    </row>
    <row r="22" spans="1:6" x14ac:dyDescent="0.2">
      <c r="B22" s="93"/>
      <c r="D22" s="93"/>
    </row>
    <row r="23" spans="1:6" x14ac:dyDescent="0.2">
      <c r="B23" s="93"/>
      <c r="D23" s="93"/>
    </row>
    <row r="24" spans="1:6" x14ac:dyDescent="0.2">
      <c r="B24" s="93"/>
      <c r="D24" s="93"/>
    </row>
    <row r="25" spans="1:6" x14ac:dyDescent="0.2">
      <c r="B25" s="93"/>
      <c r="D25" s="93"/>
    </row>
    <row r="26" spans="1:6" x14ac:dyDescent="0.2">
      <c r="B26" s="93"/>
      <c r="D26" s="93"/>
    </row>
    <row r="27" spans="1:6" x14ac:dyDescent="0.2">
      <c r="B27" s="93"/>
      <c r="D27" s="93"/>
    </row>
    <row r="28" spans="1:6" x14ac:dyDescent="0.2">
      <c r="B28" s="93"/>
      <c r="D28" s="93"/>
    </row>
    <row r="29" spans="1:6" x14ac:dyDescent="0.2">
      <c r="B29" s="93"/>
      <c r="D29" s="93"/>
    </row>
    <row r="30" spans="1:6" x14ac:dyDescent="0.2">
      <c r="B30" s="93"/>
      <c r="D30" s="93"/>
    </row>
    <row r="31" spans="1:6" x14ac:dyDescent="0.2">
      <c r="B31" s="93"/>
      <c r="D31" s="93"/>
    </row>
    <row r="32" spans="1:6" x14ac:dyDescent="0.2">
      <c r="B32" s="93"/>
      <c r="D32" s="93"/>
    </row>
    <row r="33" spans="2:4" x14ac:dyDescent="0.2">
      <c r="B33" s="93"/>
      <c r="D33" s="93"/>
    </row>
    <row r="34" spans="2:4" x14ac:dyDescent="0.2">
      <c r="B34" s="93"/>
      <c r="D34" s="93"/>
    </row>
    <row r="35" spans="2:4" x14ac:dyDescent="0.2">
      <c r="B35" s="93"/>
      <c r="D35" s="93"/>
    </row>
    <row r="36" spans="2:4" x14ac:dyDescent="0.2">
      <c r="B36" s="93"/>
      <c r="D36" s="93"/>
    </row>
    <row r="37" spans="2:4" x14ac:dyDescent="0.2">
      <c r="B37" s="93"/>
      <c r="D37" s="93"/>
    </row>
    <row r="38" spans="2:4" x14ac:dyDescent="0.2">
      <c r="B38" s="93"/>
      <c r="D38" s="93"/>
    </row>
    <row r="39" spans="2:4" x14ac:dyDescent="0.2">
      <c r="B39" s="93"/>
      <c r="D39" s="93"/>
    </row>
    <row r="40" spans="2:4" x14ac:dyDescent="0.2">
      <c r="B40" s="93"/>
      <c r="D40" s="93"/>
    </row>
    <row r="41" spans="2:4" x14ac:dyDescent="0.2">
      <c r="B41" s="93"/>
      <c r="D41" s="93"/>
    </row>
    <row r="42" spans="2:4" x14ac:dyDescent="0.2">
      <c r="B42" s="93"/>
      <c r="D42" s="93"/>
    </row>
    <row r="43" spans="2:4" x14ac:dyDescent="0.2">
      <c r="B43" s="93"/>
      <c r="D43" s="93"/>
    </row>
    <row r="44" spans="2:4" x14ac:dyDescent="0.2">
      <c r="B44" s="93"/>
      <c r="D44" s="93"/>
    </row>
    <row r="45" spans="2:4" x14ac:dyDescent="0.2">
      <c r="B45" s="93"/>
      <c r="D45" s="93"/>
    </row>
    <row r="46" spans="2:4" x14ac:dyDescent="0.2">
      <c r="B46" s="93"/>
      <c r="D46" s="93"/>
    </row>
    <row r="47" spans="2:4" x14ac:dyDescent="0.2">
      <c r="B47" s="93"/>
      <c r="D47" s="93"/>
    </row>
    <row r="48" spans="2:4" x14ac:dyDescent="0.2">
      <c r="B48" s="93"/>
      <c r="D48" s="93"/>
    </row>
    <row r="49" spans="2:4" x14ac:dyDescent="0.2">
      <c r="B49" s="93"/>
      <c r="D49" s="93"/>
    </row>
    <row r="50" spans="2:4" x14ac:dyDescent="0.2">
      <c r="B50" s="93"/>
      <c r="D50" s="93"/>
    </row>
    <row r="51" spans="2:4" x14ac:dyDescent="0.2">
      <c r="B51" s="93"/>
      <c r="D51" s="93"/>
    </row>
    <row r="52" spans="2:4" x14ac:dyDescent="0.2">
      <c r="B52" s="93"/>
      <c r="D52" s="93"/>
    </row>
    <row r="53" spans="2:4" x14ac:dyDescent="0.2">
      <c r="B53" s="93"/>
      <c r="D53" s="93"/>
    </row>
    <row r="54" spans="2:4" x14ac:dyDescent="0.2">
      <c r="B54" s="93"/>
      <c r="D54" s="93"/>
    </row>
    <row r="55" spans="2:4" x14ac:dyDescent="0.2">
      <c r="B55" s="93"/>
      <c r="D55" s="93"/>
    </row>
    <row r="56" spans="2:4" x14ac:dyDescent="0.2">
      <c r="B56" s="93"/>
      <c r="D56" s="93"/>
    </row>
    <row r="57" spans="2:4" x14ac:dyDescent="0.2">
      <c r="B57" s="93"/>
      <c r="D57" s="93"/>
    </row>
    <row r="58" spans="2:4" x14ac:dyDescent="0.2">
      <c r="B58" s="93"/>
      <c r="D58" s="93"/>
    </row>
    <row r="59" spans="2:4" x14ac:dyDescent="0.2">
      <c r="B59" s="93"/>
      <c r="D59" s="93"/>
    </row>
    <row r="60" spans="2:4" x14ac:dyDescent="0.2">
      <c r="B60" s="93"/>
      <c r="D60" s="93"/>
    </row>
    <row r="61" spans="2:4" x14ac:dyDescent="0.2">
      <c r="B61" s="93"/>
      <c r="D61" s="93"/>
    </row>
    <row r="62" spans="2:4" x14ac:dyDescent="0.2">
      <c r="B62" s="93"/>
      <c r="D62" s="93"/>
    </row>
    <row r="63" spans="2:4" x14ac:dyDescent="0.2">
      <c r="B63" s="93"/>
      <c r="D63" s="93"/>
    </row>
    <row r="64" spans="2:4" x14ac:dyDescent="0.2">
      <c r="B64" s="93"/>
      <c r="D64" s="93"/>
    </row>
    <row r="65" spans="2:4" x14ac:dyDescent="0.2">
      <c r="B65" s="93"/>
      <c r="D65" s="93"/>
    </row>
    <row r="66" spans="2:4" x14ac:dyDescent="0.2">
      <c r="B66" s="93"/>
      <c r="D66" s="93"/>
    </row>
    <row r="67" spans="2:4" x14ac:dyDescent="0.2">
      <c r="B67" s="93"/>
      <c r="D67" s="93"/>
    </row>
    <row r="68" spans="2:4" x14ac:dyDescent="0.2">
      <c r="B68" s="93"/>
      <c r="D68" s="93"/>
    </row>
    <row r="69" spans="2:4" x14ac:dyDescent="0.2">
      <c r="B69" s="93"/>
      <c r="D69" s="93"/>
    </row>
    <row r="70" spans="2:4" x14ac:dyDescent="0.2">
      <c r="B70" s="93"/>
      <c r="D70" s="93"/>
    </row>
    <row r="71" spans="2:4" x14ac:dyDescent="0.2">
      <c r="B71" s="93"/>
      <c r="D71" s="93"/>
    </row>
    <row r="72" spans="2:4" x14ac:dyDescent="0.2">
      <c r="B72" s="93"/>
      <c r="D72" s="93"/>
    </row>
    <row r="73" spans="2:4" x14ac:dyDescent="0.2">
      <c r="B73" s="93"/>
      <c r="D73" s="93"/>
    </row>
    <row r="74" spans="2:4" x14ac:dyDescent="0.2">
      <c r="B74" s="93"/>
      <c r="D74" s="93"/>
    </row>
    <row r="75" spans="2:4" x14ac:dyDescent="0.2">
      <c r="B75" s="93"/>
      <c r="D75" s="93"/>
    </row>
    <row r="76" spans="2:4" x14ac:dyDescent="0.2">
      <c r="B76" s="93"/>
      <c r="D76" s="93"/>
    </row>
    <row r="77" spans="2:4" x14ac:dyDescent="0.2">
      <c r="B77" s="93"/>
      <c r="D77" s="93"/>
    </row>
    <row r="78" spans="2:4" x14ac:dyDescent="0.2">
      <c r="B78" s="93"/>
      <c r="D78" s="93"/>
    </row>
    <row r="79" spans="2:4" x14ac:dyDescent="0.2">
      <c r="B79" s="93"/>
      <c r="D79" s="93"/>
    </row>
    <row r="80" spans="2:4" x14ac:dyDescent="0.2">
      <c r="B80" s="93"/>
      <c r="D80" s="93"/>
    </row>
    <row r="81" spans="2:4" x14ac:dyDescent="0.2">
      <c r="B81" s="93"/>
      <c r="D81" s="93"/>
    </row>
    <row r="82" spans="2:4" x14ac:dyDescent="0.2">
      <c r="B82" s="93"/>
      <c r="D82" s="93"/>
    </row>
    <row r="83" spans="2:4" x14ac:dyDescent="0.2">
      <c r="B83" s="93"/>
      <c r="D83" s="93"/>
    </row>
    <row r="84" spans="2:4" x14ac:dyDescent="0.2">
      <c r="B84" s="93"/>
      <c r="D84" s="93"/>
    </row>
    <row r="85" spans="2:4" x14ac:dyDescent="0.2">
      <c r="B85" s="93"/>
      <c r="D85" s="93"/>
    </row>
    <row r="86" spans="2:4" x14ac:dyDescent="0.2">
      <c r="B86" s="93"/>
      <c r="D86" s="93"/>
    </row>
    <row r="87" spans="2:4" x14ac:dyDescent="0.2">
      <c r="B87" s="93"/>
      <c r="D87" s="93"/>
    </row>
    <row r="88" spans="2:4" x14ac:dyDescent="0.2">
      <c r="B88" s="93"/>
      <c r="D88" s="93"/>
    </row>
    <row r="89" spans="2:4" x14ac:dyDescent="0.2">
      <c r="B89" s="93"/>
      <c r="D89" s="93"/>
    </row>
    <row r="90" spans="2:4" x14ac:dyDescent="0.2">
      <c r="B90" s="93"/>
      <c r="D90" s="93"/>
    </row>
    <row r="91" spans="2:4" x14ac:dyDescent="0.2">
      <c r="B91" s="93"/>
      <c r="D91" s="93"/>
    </row>
    <row r="92" spans="2:4" x14ac:dyDescent="0.2">
      <c r="B92" s="93"/>
      <c r="D92" s="93"/>
    </row>
    <row r="93" spans="2:4" x14ac:dyDescent="0.2">
      <c r="B93" s="93"/>
      <c r="D93" s="93"/>
    </row>
    <row r="94" spans="2:4" x14ac:dyDescent="0.2">
      <c r="B94" s="93"/>
      <c r="D94" s="93"/>
    </row>
    <row r="95" spans="2:4" x14ac:dyDescent="0.2">
      <c r="B95" s="93"/>
      <c r="D95" s="93"/>
    </row>
    <row r="96" spans="2:4" x14ac:dyDescent="0.2">
      <c r="B96" s="93"/>
      <c r="D96" s="93"/>
    </row>
    <row r="97" spans="2:4" x14ac:dyDescent="0.2">
      <c r="B97" s="93"/>
      <c r="D97" s="93"/>
    </row>
    <row r="98" spans="2:4" x14ac:dyDescent="0.2">
      <c r="B98" s="93"/>
      <c r="D98" s="93"/>
    </row>
    <row r="99" spans="2:4" x14ac:dyDescent="0.2">
      <c r="B99" s="93"/>
      <c r="D99" s="93"/>
    </row>
    <row r="100" spans="2:4" x14ac:dyDescent="0.2">
      <c r="B100" s="93"/>
      <c r="D100" s="93"/>
    </row>
    <row r="101" spans="2:4" x14ac:dyDescent="0.2">
      <c r="B101" s="93"/>
      <c r="D101" s="93"/>
    </row>
    <row r="102" spans="2:4" x14ac:dyDescent="0.2">
      <c r="B102" s="93"/>
      <c r="D102" s="93"/>
    </row>
    <row r="103" spans="2:4" x14ac:dyDescent="0.2">
      <c r="B103" s="93"/>
      <c r="D103" s="93"/>
    </row>
    <row r="104" spans="2:4" x14ac:dyDescent="0.2">
      <c r="B104" s="93"/>
      <c r="D104" s="93"/>
    </row>
    <row r="105" spans="2:4" x14ac:dyDescent="0.2">
      <c r="B105" s="93"/>
      <c r="D105" s="93"/>
    </row>
    <row r="106" spans="2:4" x14ac:dyDescent="0.2">
      <c r="B106" s="93"/>
      <c r="D106" s="93"/>
    </row>
    <row r="107" spans="2:4" x14ac:dyDescent="0.2">
      <c r="B107" s="93"/>
      <c r="D107" s="93"/>
    </row>
    <row r="108" spans="2:4" x14ac:dyDescent="0.2">
      <c r="B108" s="93"/>
      <c r="D108" s="93"/>
    </row>
    <row r="109" spans="2:4" x14ac:dyDescent="0.2">
      <c r="B109" s="93"/>
      <c r="D109" s="93"/>
    </row>
    <row r="110" spans="2:4" x14ac:dyDescent="0.2">
      <c r="B110" s="93"/>
      <c r="D110" s="93"/>
    </row>
    <row r="111" spans="2:4" x14ac:dyDescent="0.2">
      <c r="B111" s="93"/>
      <c r="D111" s="93"/>
    </row>
    <row r="112" spans="2:4" x14ac:dyDescent="0.2">
      <c r="B112" s="93"/>
      <c r="D112" s="93"/>
    </row>
    <row r="113" spans="2:4" x14ac:dyDescent="0.2">
      <c r="B113" s="93"/>
      <c r="D113" s="93"/>
    </row>
    <row r="114" spans="2:4" x14ac:dyDescent="0.2">
      <c r="B114" s="93"/>
      <c r="D114" s="93"/>
    </row>
    <row r="115" spans="2:4" x14ac:dyDescent="0.2">
      <c r="B115" s="93"/>
      <c r="D115" s="93"/>
    </row>
    <row r="116" spans="2:4" x14ac:dyDescent="0.2">
      <c r="B116" s="93"/>
      <c r="D116" s="93"/>
    </row>
    <row r="117" spans="2:4" x14ac:dyDescent="0.2">
      <c r="B117" s="93"/>
      <c r="D117" s="93"/>
    </row>
    <row r="118" spans="2:4" x14ac:dyDescent="0.2">
      <c r="B118" s="93"/>
      <c r="D118" s="93"/>
    </row>
    <row r="119" spans="2:4" x14ac:dyDescent="0.2">
      <c r="B119" s="93"/>
      <c r="D119" s="93"/>
    </row>
    <row r="120" spans="2:4" x14ac:dyDescent="0.2">
      <c r="B120" s="93"/>
      <c r="D120" s="93"/>
    </row>
    <row r="121" spans="2:4" x14ac:dyDescent="0.2">
      <c r="B121" s="93"/>
      <c r="D121" s="93"/>
    </row>
    <row r="122" spans="2:4" x14ac:dyDescent="0.2">
      <c r="B122" s="93"/>
      <c r="D122" s="93"/>
    </row>
    <row r="123" spans="2:4" x14ac:dyDescent="0.2">
      <c r="B123" s="93"/>
      <c r="D123" s="93"/>
    </row>
    <row r="124" spans="2:4" x14ac:dyDescent="0.2">
      <c r="B124" s="93"/>
      <c r="D124" s="93"/>
    </row>
    <row r="125" spans="2:4" x14ac:dyDescent="0.2">
      <c r="B125" s="93"/>
      <c r="D125" s="93"/>
    </row>
    <row r="126" spans="2:4" x14ac:dyDescent="0.2">
      <c r="B126" s="93"/>
      <c r="D126" s="93"/>
    </row>
    <row r="127" spans="2:4" x14ac:dyDescent="0.2">
      <c r="B127" s="93"/>
      <c r="D127" s="93"/>
    </row>
    <row r="128" spans="2:4" x14ac:dyDescent="0.2">
      <c r="B128" s="93"/>
      <c r="D128" s="93"/>
    </row>
    <row r="129" spans="2:4" x14ac:dyDescent="0.2">
      <c r="B129" s="93"/>
      <c r="D129" s="93"/>
    </row>
    <row r="130" spans="2:4" x14ac:dyDescent="0.2">
      <c r="B130" s="93"/>
      <c r="D130" s="93"/>
    </row>
    <row r="131" spans="2:4" x14ac:dyDescent="0.2">
      <c r="B131" s="93"/>
      <c r="D131" s="93"/>
    </row>
    <row r="132" spans="2:4" x14ac:dyDescent="0.2">
      <c r="B132" s="93"/>
      <c r="D132" s="93"/>
    </row>
    <row r="133" spans="2:4" x14ac:dyDescent="0.2">
      <c r="B133" s="93"/>
      <c r="D133" s="93"/>
    </row>
    <row r="134" spans="2:4" x14ac:dyDescent="0.2">
      <c r="B134" s="93"/>
      <c r="D134" s="93"/>
    </row>
    <row r="135" spans="2:4" x14ac:dyDescent="0.2">
      <c r="B135" s="93"/>
      <c r="D135" s="93"/>
    </row>
    <row r="136" spans="2:4" x14ac:dyDescent="0.2">
      <c r="B136" s="93"/>
      <c r="D136" s="93"/>
    </row>
    <row r="137" spans="2:4" x14ac:dyDescent="0.2">
      <c r="B137" s="93"/>
      <c r="D137" s="93"/>
    </row>
    <row r="138" spans="2:4" x14ac:dyDescent="0.2">
      <c r="B138" s="93"/>
      <c r="D138" s="93"/>
    </row>
    <row r="139" spans="2:4" x14ac:dyDescent="0.2">
      <c r="B139" s="93"/>
      <c r="D139" s="93"/>
    </row>
    <row r="140" spans="2:4" x14ac:dyDescent="0.2">
      <c r="B140" s="93"/>
      <c r="D140" s="93"/>
    </row>
    <row r="141" spans="2:4" x14ac:dyDescent="0.2">
      <c r="B141" s="93"/>
      <c r="D141" s="93"/>
    </row>
    <row r="142" spans="2:4" x14ac:dyDescent="0.2">
      <c r="B142" s="93"/>
      <c r="D142" s="93"/>
    </row>
    <row r="143" spans="2:4" x14ac:dyDescent="0.2">
      <c r="B143" s="93"/>
      <c r="D143" s="93"/>
    </row>
    <row r="144" spans="2:4" x14ac:dyDescent="0.2">
      <c r="B144" s="93"/>
      <c r="D144" s="93"/>
    </row>
    <row r="145" spans="2:4" x14ac:dyDescent="0.2">
      <c r="B145" s="93"/>
      <c r="D145" s="93"/>
    </row>
    <row r="146" spans="2:4" x14ac:dyDescent="0.2">
      <c r="B146" s="93"/>
      <c r="D146" s="93"/>
    </row>
    <row r="147" spans="2:4" x14ac:dyDescent="0.2">
      <c r="B147" s="93"/>
      <c r="D147" s="93"/>
    </row>
    <row r="148" spans="2:4" x14ac:dyDescent="0.2">
      <c r="B148" s="93"/>
      <c r="D148" s="93"/>
    </row>
    <row r="149" spans="2:4" x14ac:dyDescent="0.2">
      <c r="B149" s="93"/>
      <c r="D149" s="93"/>
    </row>
    <row r="150" spans="2:4" x14ac:dyDescent="0.2">
      <c r="B150" s="93"/>
      <c r="D150" s="93"/>
    </row>
    <row r="151" spans="2:4" x14ac:dyDescent="0.2">
      <c r="B151" s="93"/>
      <c r="D151" s="93"/>
    </row>
    <row r="152" spans="2:4" x14ac:dyDescent="0.2">
      <c r="B152" s="93"/>
      <c r="D152" s="93"/>
    </row>
    <row r="153" spans="2:4" x14ac:dyDescent="0.2">
      <c r="B153" s="93"/>
      <c r="D153" s="93"/>
    </row>
    <row r="154" spans="2:4" x14ac:dyDescent="0.2">
      <c r="B154" s="93"/>
      <c r="D154" s="93"/>
    </row>
    <row r="155" spans="2:4" x14ac:dyDescent="0.2">
      <c r="B155" s="93"/>
      <c r="D155" s="93"/>
    </row>
    <row r="156" spans="2:4" x14ac:dyDescent="0.2">
      <c r="B156" s="93"/>
      <c r="D156" s="93"/>
    </row>
    <row r="157" spans="2:4" x14ac:dyDescent="0.2">
      <c r="B157" s="93"/>
      <c r="D157" s="93"/>
    </row>
    <row r="158" spans="2:4" x14ac:dyDescent="0.2">
      <c r="B158" s="93"/>
      <c r="D158" s="93"/>
    </row>
    <row r="159" spans="2:4" x14ac:dyDescent="0.2">
      <c r="B159" s="93"/>
      <c r="D159" s="93"/>
    </row>
    <row r="160" spans="2:4" x14ac:dyDescent="0.2">
      <c r="B160" s="93"/>
      <c r="D160" s="93"/>
    </row>
    <row r="161" spans="2:4" x14ac:dyDescent="0.2">
      <c r="B161" s="93"/>
      <c r="D161" s="93"/>
    </row>
    <row r="162" spans="2:4" x14ac:dyDescent="0.2">
      <c r="B162" s="93"/>
      <c r="D162" s="93"/>
    </row>
    <row r="163" spans="2:4" x14ac:dyDescent="0.2">
      <c r="B163" s="93"/>
      <c r="D163" s="93"/>
    </row>
    <row r="164" spans="2:4" x14ac:dyDescent="0.2">
      <c r="B164" s="93"/>
      <c r="D164" s="93"/>
    </row>
    <row r="165" spans="2:4" x14ac:dyDescent="0.2">
      <c r="B165" s="93"/>
      <c r="D165" s="93"/>
    </row>
    <row r="166" spans="2:4" x14ac:dyDescent="0.2">
      <c r="B166" s="93"/>
      <c r="D166" s="93"/>
    </row>
    <row r="167" spans="2:4" x14ac:dyDescent="0.2">
      <c r="B167" s="93"/>
      <c r="D167" s="93"/>
    </row>
    <row r="168" spans="2:4" x14ac:dyDescent="0.2">
      <c r="B168" s="93"/>
      <c r="D168" s="93"/>
    </row>
    <row r="169" spans="2:4" x14ac:dyDescent="0.2">
      <c r="B169" s="93"/>
      <c r="D169" s="93"/>
    </row>
    <row r="170" spans="2:4" x14ac:dyDescent="0.2">
      <c r="B170" s="93"/>
      <c r="D170" s="93"/>
    </row>
    <row r="171" spans="2:4" x14ac:dyDescent="0.2">
      <c r="B171" s="93"/>
      <c r="D171" s="93"/>
    </row>
    <row r="172" spans="2:4" x14ac:dyDescent="0.2">
      <c r="B172" s="93"/>
      <c r="D172" s="93"/>
    </row>
    <row r="173" spans="2:4" x14ac:dyDescent="0.2">
      <c r="B173" s="93"/>
      <c r="D173" s="93"/>
    </row>
    <row r="174" spans="2:4" x14ac:dyDescent="0.2">
      <c r="B174" s="93"/>
      <c r="D174" s="93"/>
    </row>
    <row r="175" spans="2:4" x14ac:dyDescent="0.2">
      <c r="B175" s="93"/>
      <c r="D175" s="93"/>
    </row>
    <row r="176" spans="2:4" x14ac:dyDescent="0.2">
      <c r="B176" s="93"/>
      <c r="D176" s="93"/>
    </row>
    <row r="177" spans="2:4" x14ac:dyDescent="0.2">
      <c r="B177" s="93"/>
      <c r="D177" s="93"/>
    </row>
    <row r="178" spans="2:4" x14ac:dyDescent="0.2">
      <c r="B178" s="93"/>
      <c r="D178" s="93"/>
    </row>
    <row r="179" spans="2:4" x14ac:dyDescent="0.2">
      <c r="B179" s="93"/>
      <c r="D179" s="93"/>
    </row>
    <row r="180" spans="2:4" x14ac:dyDescent="0.2">
      <c r="B180" s="93"/>
      <c r="D180" s="93"/>
    </row>
    <row r="181" spans="2:4" x14ac:dyDescent="0.2">
      <c r="B181" s="93"/>
      <c r="D181" s="93"/>
    </row>
    <row r="182" spans="2:4" x14ac:dyDescent="0.2">
      <c r="B182" s="93"/>
      <c r="D182" s="93"/>
    </row>
    <row r="183" spans="2:4" x14ac:dyDescent="0.2">
      <c r="B183" s="93"/>
      <c r="D183" s="93"/>
    </row>
    <row r="184" spans="2:4" x14ac:dyDescent="0.2">
      <c r="B184" s="93"/>
      <c r="D184" s="93"/>
    </row>
    <row r="185" spans="2:4" x14ac:dyDescent="0.2">
      <c r="B185" s="93"/>
      <c r="D185" s="93"/>
    </row>
    <row r="186" spans="2:4" x14ac:dyDescent="0.2">
      <c r="B186" s="93"/>
      <c r="D186" s="93"/>
    </row>
    <row r="187" spans="2:4" x14ac:dyDescent="0.2">
      <c r="B187" s="93"/>
      <c r="D187" s="93"/>
    </row>
    <row r="188" spans="2:4" x14ac:dyDescent="0.2">
      <c r="B188" s="93"/>
      <c r="D188" s="93"/>
    </row>
    <row r="189" spans="2:4" x14ac:dyDescent="0.2">
      <c r="B189" s="93"/>
      <c r="D189" s="93"/>
    </row>
    <row r="190" spans="2:4" x14ac:dyDescent="0.2">
      <c r="B190" s="93"/>
      <c r="D190" s="93"/>
    </row>
    <row r="191" spans="2:4" x14ac:dyDescent="0.2">
      <c r="B191" s="93"/>
      <c r="D191" s="93"/>
    </row>
    <row r="192" spans="2:4" x14ac:dyDescent="0.2">
      <c r="B192" s="93"/>
      <c r="D192" s="93"/>
    </row>
    <row r="193" spans="2:4" x14ac:dyDescent="0.2">
      <c r="B193" s="93"/>
      <c r="D193" s="93"/>
    </row>
    <row r="194" spans="2:4" x14ac:dyDescent="0.2">
      <c r="B194" s="93"/>
      <c r="D194" s="93"/>
    </row>
    <row r="195" spans="2:4" x14ac:dyDescent="0.2">
      <c r="B195" s="93"/>
      <c r="D195" s="93"/>
    </row>
    <row r="196" spans="2:4" x14ac:dyDescent="0.2">
      <c r="B196" s="93"/>
      <c r="D196" s="93"/>
    </row>
    <row r="197" spans="2:4" x14ac:dyDescent="0.2">
      <c r="B197" s="93"/>
      <c r="D197" s="93"/>
    </row>
    <row r="198" spans="2:4" x14ac:dyDescent="0.2">
      <c r="B198" s="93"/>
      <c r="D198" s="93"/>
    </row>
    <row r="199" spans="2:4" x14ac:dyDescent="0.2">
      <c r="B199" s="93"/>
      <c r="D199" s="93"/>
    </row>
    <row r="200" spans="2:4" x14ac:dyDescent="0.2">
      <c r="B200" s="93"/>
      <c r="D200" s="93"/>
    </row>
    <row r="201" spans="2:4" x14ac:dyDescent="0.2">
      <c r="B201" s="93"/>
      <c r="D201" s="93"/>
    </row>
    <row r="202" spans="2:4" x14ac:dyDescent="0.2">
      <c r="B202" s="93"/>
      <c r="D202" s="93"/>
    </row>
    <row r="203" spans="2:4" x14ac:dyDescent="0.2">
      <c r="B203" s="93"/>
      <c r="D203" s="93"/>
    </row>
    <row r="204" spans="2:4" x14ac:dyDescent="0.2">
      <c r="B204" s="93"/>
      <c r="D204" s="93"/>
    </row>
    <row r="205" spans="2:4" x14ac:dyDescent="0.2">
      <c r="B205" s="93"/>
      <c r="D205" s="93"/>
    </row>
    <row r="206" spans="2:4" x14ac:dyDescent="0.2">
      <c r="B206" s="93"/>
      <c r="D206" s="93"/>
    </row>
    <row r="207" spans="2:4" x14ac:dyDescent="0.2">
      <c r="B207" s="93"/>
      <c r="D207" s="93"/>
    </row>
    <row r="208" spans="2:4" x14ac:dyDescent="0.2">
      <c r="B208" s="93"/>
      <c r="D208" s="93"/>
    </row>
    <row r="209" spans="2:4" x14ac:dyDescent="0.2">
      <c r="B209" s="93"/>
      <c r="D209" s="93"/>
    </row>
    <row r="210" spans="2:4" x14ac:dyDescent="0.2">
      <c r="B210" s="93"/>
      <c r="D210" s="93"/>
    </row>
    <row r="211" spans="2:4" x14ac:dyDescent="0.2">
      <c r="B211" s="93"/>
      <c r="D211" s="93"/>
    </row>
    <row r="212" spans="2:4" x14ac:dyDescent="0.2">
      <c r="B212" s="93"/>
      <c r="D212" s="93"/>
    </row>
    <row r="213" spans="2:4" x14ac:dyDescent="0.2">
      <c r="B213" s="93"/>
      <c r="D213" s="93"/>
    </row>
    <row r="214" spans="2:4" x14ac:dyDescent="0.2">
      <c r="B214" s="93"/>
      <c r="D214" s="93"/>
    </row>
    <row r="215" spans="2:4" x14ac:dyDescent="0.2">
      <c r="B215" s="93"/>
      <c r="D215" s="93"/>
    </row>
    <row r="216" spans="2:4" x14ac:dyDescent="0.2">
      <c r="B216" s="93"/>
      <c r="D216" s="93"/>
    </row>
    <row r="217" spans="2:4" x14ac:dyDescent="0.2">
      <c r="B217" s="93"/>
      <c r="D217" s="93"/>
    </row>
    <row r="218" spans="2:4" x14ac:dyDescent="0.2">
      <c r="B218" s="93"/>
      <c r="D218" s="93"/>
    </row>
    <row r="219" spans="2:4" x14ac:dyDescent="0.2">
      <c r="B219" s="93"/>
      <c r="D219" s="93"/>
    </row>
    <row r="220" spans="2:4" x14ac:dyDescent="0.2">
      <c r="B220" s="93"/>
      <c r="D220" s="93"/>
    </row>
    <row r="221" spans="2:4" x14ac:dyDescent="0.2">
      <c r="B221" s="93"/>
      <c r="D221" s="93"/>
    </row>
    <row r="222" spans="2:4" x14ac:dyDescent="0.2">
      <c r="B222" s="93"/>
      <c r="D222" s="93"/>
    </row>
    <row r="223" spans="2:4" x14ac:dyDescent="0.2">
      <c r="B223" s="93"/>
      <c r="D223" s="93"/>
    </row>
    <row r="224" spans="2:4" x14ac:dyDescent="0.2">
      <c r="B224" s="93"/>
      <c r="D224" s="93"/>
    </row>
    <row r="225" spans="2:4" x14ac:dyDescent="0.2">
      <c r="B225" s="93"/>
      <c r="D225" s="93"/>
    </row>
    <row r="226" spans="2:4" x14ac:dyDescent="0.2">
      <c r="B226" s="93"/>
      <c r="D226" s="93"/>
    </row>
    <row r="227" spans="2:4" x14ac:dyDescent="0.2">
      <c r="B227" s="93"/>
      <c r="D227" s="93"/>
    </row>
    <row r="228" spans="2:4" x14ac:dyDescent="0.2">
      <c r="B228" s="93"/>
      <c r="D228" s="93"/>
    </row>
    <row r="229" spans="2:4" x14ac:dyDescent="0.2">
      <c r="B229" s="93"/>
      <c r="D229" s="93"/>
    </row>
    <row r="230" spans="2:4" x14ac:dyDescent="0.2">
      <c r="B230" s="93"/>
      <c r="D230" s="93"/>
    </row>
    <row r="231" spans="2:4" x14ac:dyDescent="0.2">
      <c r="B231" s="93"/>
      <c r="D231" s="93"/>
    </row>
    <row r="232" spans="2:4" x14ac:dyDescent="0.2">
      <c r="B232" s="93"/>
      <c r="D232" s="93"/>
    </row>
    <row r="233" spans="2:4" x14ac:dyDescent="0.2">
      <c r="B233" s="93"/>
      <c r="D233" s="93"/>
    </row>
    <row r="234" spans="2:4" x14ac:dyDescent="0.2">
      <c r="B234" s="93"/>
      <c r="D234" s="93"/>
    </row>
    <row r="235" spans="2:4" x14ac:dyDescent="0.2">
      <c r="B235" s="93"/>
      <c r="D235" s="93"/>
    </row>
    <row r="236" spans="2:4" x14ac:dyDescent="0.2">
      <c r="B236" s="93"/>
      <c r="D236" s="93"/>
    </row>
    <row r="237" spans="2:4" x14ac:dyDescent="0.2">
      <c r="B237" s="93"/>
      <c r="D237" s="93"/>
    </row>
    <row r="238" spans="2:4" x14ac:dyDescent="0.2">
      <c r="B238" s="93"/>
      <c r="D238" s="93"/>
    </row>
    <row r="239" spans="2:4" x14ac:dyDescent="0.2">
      <c r="B239" s="93"/>
      <c r="D239" s="93"/>
    </row>
    <row r="240" spans="2:4" x14ac:dyDescent="0.2">
      <c r="B240" s="93"/>
      <c r="D240" s="93"/>
    </row>
    <row r="241" spans="2:4" x14ac:dyDescent="0.2">
      <c r="B241" s="93"/>
      <c r="D241" s="93"/>
    </row>
    <row r="242" spans="2:4" x14ac:dyDescent="0.2">
      <c r="B242" s="93"/>
      <c r="D242" s="93"/>
    </row>
    <row r="243" spans="2:4" x14ac:dyDescent="0.2">
      <c r="B243" s="93"/>
      <c r="D243" s="93"/>
    </row>
    <row r="244" spans="2:4" x14ac:dyDescent="0.2">
      <c r="B244" s="93"/>
      <c r="D244" s="93"/>
    </row>
    <row r="245" spans="2:4" x14ac:dyDescent="0.2">
      <c r="B245" s="93"/>
      <c r="D245" s="93"/>
    </row>
    <row r="246" spans="2:4" x14ac:dyDescent="0.2">
      <c r="B246" s="93"/>
      <c r="D246" s="93"/>
    </row>
    <row r="247" spans="2:4" x14ac:dyDescent="0.2">
      <c r="B247" s="93"/>
      <c r="D247" s="93"/>
    </row>
    <row r="248" spans="2:4" x14ac:dyDescent="0.2">
      <c r="B248" s="93"/>
      <c r="D248" s="93"/>
    </row>
    <row r="249" spans="2:4" x14ac:dyDescent="0.2">
      <c r="B249" s="93"/>
      <c r="D249" s="93"/>
    </row>
    <row r="250" spans="2:4" x14ac:dyDescent="0.2">
      <c r="B250" s="93"/>
      <c r="D250" s="93"/>
    </row>
    <row r="251" spans="2:4" x14ac:dyDescent="0.2">
      <c r="B251" s="93"/>
      <c r="D251" s="93"/>
    </row>
    <row r="252" spans="2:4" x14ac:dyDescent="0.2">
      <c r="B252" s="93"/>
      <c r="D252" s="93"/>
    </row>
    <row r="253" spans="2:4" x14ac:dyDescent="0.2">
      <c r="B253" s="93"/>
      <c r="D253" s="93"/>
    </row>
    <row r="254" spans="2:4" x14ac:dyDescent="0.2">
      <c r="B254" s="93"/>
      <c r="D254" s="93"/>
    </row>
    <row r="255" spans="2:4" x14ac:dyDescent="0.2">
      <c r="B255" s="93"/>
      <c r="D255" s="93"/>
    </row>
    <row r="256" spans="2:4" x14ac:dyDescent="0.2">
      <c r="B256" s="93"/>
      <c r="D256" s="93"/>
    </row>
    <row r="257" spans="2:4" x14ac:dyDescent="0.2">
      <c r="B257" s="93"/>
      <c r="D257" s="93"/>
    </row>
    <row r="258" spans="2:4" x14ac:dyDescent="0.2">
      <c r="B258" s="93"/>
      <c r="D258" s="93"/>
    </row>
    <row r="259" spans="2:4" x14ac:dyDescent="0.2">
      <c r="B259" s="93"/>
      <c r="D259" s="93"/>
    </row>
    <row r="260" spans="2:4" x14ac:dyDescent="0.2">
      <c r="B260" s="93"/>
      <c r="D260" s="93"/>
    </row>
    <row r="261" spans="2:4" x14ac:dyDescent="0.2">
      <c r="B261" s="93"/>
      <c r="D261" s="93"/>
    </row>
    <row r="262" spans="2:4" x14ac:dyDescent="0.2">
      <c r="B262" s="93"/>
      <c r="D262" s="93"/>
    </row>
    <row r="263" spans="2:4" x14ac:dyDescent="0.2">
      <c r="B263" s="93"/>
      <c r="D263" s="93"/>
    </row>
    <row r="264" spans="2:4" x14ac:dyDescent="0.2">
      <c r="B264" s="93"/>
      <c r="D264" s="93"/>
    </row>
    <row r="265" spans="2:4" x14ac:dyDescent="0.2">
      <c r="B265" s="93"/>
      <c r="D265" s="93"/>
    </row>
    <row r="266" spans="2:4" x14ac:dyDescent="0.2">
      <c r="B266" s="93"/>
    </row>
  </sheetData>
  <sheetProtection sheet="1" objects="1" scenarios="1" formatCells="0" formatColumns="0" formatRows="0" insertColumns="0" insertRows="0" insertHyperlinks="0" deleteColumns="0" deleteRows="0"/>
  <mergeCells count="18">
    <mergeCell ref="C18:F18"/>
    <mergeCell ref="C7:F7"/>
    <mergeCell ref="C8:F8"/>
    <mergeCell ref="C9:F9"/>
    <mergeCell ref="C10:F10"/>
    <mergeCell ref="C11:F11"/>
    <mergeCell ref="C12:F12"/>
    <mergeCell ref="C13:F13"/>
    <mergeCell ref="C14:F14"/>
    <mergeCell ref="C15:F15"/>
    <mergeCell ref="C16:F16"/>
    <mergeCell ref="C17:F17"/>
    <mergeCell ref="C6:F6"/>
    <mergeCell ref="A2:F2"/>
    <mergeCell ref="A3:D3"/>
    <mergeCell ref="E3:F3"/>
    <mergeCell ref="A4:F4"/>
    <mergeCell ref="C5:F5"/>
  </mergeCells>
  <printOptions horizontalCentered="1"/>
  <pageMargins left="0.7" right="0.7" top="0.75" bottom="0.75" header="0.3" footer="0.3"/>
  <pageSetup scale="84" fitToHeight="0" orientation="landscape" r:id="rId1"/>
  <headerFooter>
    <oddFooter xml:space="preserve">&amp;L&amp;"Arial,Regular"Los Angeles Unified School District
Daniel Webster Middle School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C339"/>
  <sheetViews>
    <sheetView zoomScale="83" zoomScaleNormal="83" zoomScalePageLayoutView="90" workbookViewId="0">
      <selection activeCell="B8" sqref="B8:B9"/>
    </sheetView>
  </sheetViews>
  <sheetFormatPr defaultColWidth="7.85546875" defaultRowHeight="14.25" x14ac:dyDescent="0.2"/>
  <cols>
    <col min="1" max="1" width="13.140625" style="67" customWidth="1"/>
    <col min="2" max="2" width="60.5703125" style="12" customWidth="1"/>
    <col min="3" max="3" width="12.5703125" style="70" customWidth="1"/>
    <col min="4" max="4" width="21.85546875" style="69" hidden="1" customWidth="1"/>
    <col min="5" max="7" width="23" style="69" hidden="1" customWidth="1"/>
    <col min="8" max="8" width="2.5703125" style="71" hidden="1" customWidth="1"/>
    <col min="9" max="9" width="23" style="69" hidden="1" customWidth="1"/>
    <col min="10" max="10" width="23.42578125" style="69" hidden="1" customWidth="1"/>
    <col min="11" max="15" width="24.140625" style="69" hidden="1" customWidth="1"/>
    <col min="16" max="16" width="2.42578125" style="72" customWidth="1"/>
    <col min="17" max="17" width="21.5703125" style="69" hidden="1" customWidth="1"/>
    <col min="18" max="19" width="23.85546875" style="69" hidden="1" customWidth="1"/>
    <col min="20" max="21" width="23.85546875" style="69" customWidth="1"/>
    <col min="22" max="22" width="2.140625" style="72" customWidth="1"/>
    <col min="23" max="23" width="23.85546875" style="69" hidden="1" customWidth="1"/>
    <col min="24" max="25" width="24" style="69" customWidth="1"/>
    <col min="26" max="26" width="2.5703125" style="72" customWidth="1"/>
    <col min="27" max="27" width="21.140625" style="69" hidden="1" customWidth="1"/>
    <col min="28" max="29" width="23.140625" style="69" customWidth="1"/>
    <col min="30" max="16384" width="7.85546875" style="12"/>
  </cols>
  <sheetData>
    <row r="1" spans="1:29" ht="15" thickBot="1" x14ac:dyDescent="0.25">
      <c r="A1" s="6"/>
      <c r="B1" s="7" t="s">
        <v>18</v>
      </c>
      <c r="C1" s="8"/>
      <c r="D1" s="9"/>
      <c r="E1" s="9"/>
      <c r="F1" s="9"/>
      <c r="G1" s="9"/>
      <c r="H1" s="10"/>
      <c r="I1" s="9"/>
      <c r="J1" s="9"/>
      <c r="K1" s="9"/>
      <c r="L1" s="9"/>
      <c r="M1" s="9"/>
      <c r="N1" s="9"/>
      <c r="O1" s="9"/>
      <c r="P1" s="10"/>
      <c r="Q1" s="9"/>
      <c r="R1" s="9"/>
      <c r="S1" s="9"/>
      <c r="T1" s="9" t="s">
        <v>131</v>
      </c>
      <c r="U1" s="9" t="s">
        <v>131</v>
      </c>
      <c r="V1" s="10"/>
      <c r="W1" s="9"/>
      <c r="X1" s="9"/>
      <c r="Y1" s="9"/>
      <c r="Z1" s="10"/>
      <c r="AA1" s="9"/>
      <c r="AB1" s="9"/>
      <c r="AC1" s="11"/>
    </row>
    <row r="2" spans="1:29" ht="36" x14ac:dyDescent="0.2">
      <c r="A2" s="13"/>
      <c r="B2" s="14" t="s">
        <v>19</v>
      </c>
      <c r="C2" s="15"/>
      <c r="D2" s="196" t="s">
        <v>20</v>
      </c>
      <c r="E2" s="196"/>
      <c r="F2" s="196"/>
      <c r="G2" s="196"/>
      <c r="H2" s="196"/>
      <c r="I2" s="196"/>
      <c r="J2" s="196"/>
      <c r="K2" s="196"/>
      <c r="L2" s="196"/>
      <c r="M2" s="196"/>
      <c r="N2" s="196"/>
      <c r="O2" s="196"/>
      <c r="P2" s="196"/>
      <c r="Q2" s="196"/>
      <c r="R2" s="196"/>
      <c r="S2" s="196"/>
      <c r="T2" s="196"/>
      <c r="U2" s="196"/>
      <c r="V2" s="196"/>
      <c r="W2" s="196"/>
      <c r="X2" s="196"/>
      <c r="Y2" s="196"/>
      <c r="Z2" s="196"/>
      <c r="AA2" s="196"/>
      <c r="AB2" s="133"/>
      <c r="AC2" s="82"/>
    </row>
    <row r="3" spans="1:29" ht="20.25" x14ac:dyDescent="0.2">
      <c r="A3" s="13"/>
      <c r="B3" s="16" t="s">
        <v>21</v>
      </c>
      <c r="C3" s="17"/>
      <c r="D3" s="18"/>
      <c r="E3" s="18"/>
      <c r="F3" s="18"/>
      <c r="G3" s="18"/>
      <c r="H3" s="18"/>
      <c r="I3" s="18"/>
      <c r="J3" s="18"/>
      <c r="K3" s="18"/>
      <c r="L3" s="18"/>
      <c r="M3" s="18"/>
      <c r="N3" s="18"/>
      <c r="O3" s="18"/>
      <c r="P3" s="18"/>
      <c r="Q3" s="18"/>
      <c r="R3" s="18"/>
      <c r="S3" s="18"/>
      <c r="T3" s="18"/>
      <c r="U3" s="18"/>
      <c r="V3" s="18"/>
      <c r="W3" s="18"/>
      <c r="X3" s="18"/>
      <c r="Y3" s="18"/>
      <c r="Z3" s="18"/>
      <c r="AA3" s="18"/>
      <c r="AB3" s="18"/>
      <c r="AC3" s="19"/>
    </row>
    <row r="4" spans="1:29" ht="24.75" customHeight="1" x14ac:dyDescent="0.2">
      <c r="A4" s="13"/>
      <c r="B4" s="197" t="s">
        <v>22</v>
      </c>
      <c r="C4" s="17"/>
      <c r="D4" s="18"/>
      <c r="E4" s="18"/>
      <c r="F4" s="18"/>
      <c r="G4" s="18"/>
      <c r="H4" s="18"/>
      <c r="I4" s="18"/>
      <c r="J4" s="18"/>
      <c r="K4" s="18"/>
      <c r="L4" s="18"/>
      <c r="M4" s="18"/>
      <c r="N4" s="18"/>
      <c r="O4" s="18"/>
      <c r="P4" s="18"/>
      <c r="Q4" s="18"/>
      <c r="R4" s="18"/>
      <c r="S4" s="18"/>
      <c r="T4" s="18"/>
      <c r="U4" s="18"/>
      <c r="V4" s="18"/>
      <c r="W4" s="18"/>
      <c r="X4" s="18"/>
      <c r="Y4" s="18"/>
      <c r="Z4" s="18"/>
      <c r="AA4" s="18"/>
      <c r="AB4" s="18"/>
      <c r="AC4" s="19"/>
    </row>
    <row r="5" spans="1:29" ht="39.75" customHeight="1" thickBot="1" x14ac:dyDescent="0.3">
      <c r="A5" s="13"/>
      <c r="B5" s="198"/>
      <c r="C5" s="20"/>
      <c r="D5" s="20"/>
      <c r="E5" s="20"/>
      <c r="F5" s="20"/>
      <c r="G5" s="20"/>
      <c r="H5" s="20"/>
      <c r="I5" s="20"/>
      <c r="J5" s="20"/>
      <c r="K5" s="20"/>
      <c r="L5" s="20"/>
      <c r="M5" s="20"/>
      <c r="N5" s="20"/>
      <c r="O5" s="20"/>
      <c r="P5" s="20"/>
      <c r="Q5" s="20"/>
      <c r="R5" s="20"/>
      <c r="S5" s="20"/>
      <c r="T5" s="20"/>
      <c r="U5" s="20"/>
      <c r="V5" s="20"/>
      <c r="W5" s="20"/>
      <c r="X5" s="20"/>
      <c r="Y5" s="20"/>
      <c r="Z5" s="20"/>
      <c r="AA5" s="20"/>
      <c r="AB5" s="124"/>
      <c r="AC5" s="21"/>
    </row>
    <row r="6" spans="1:29" ht="30" customHeight="1" thickBot="1" x14ac:dyDescent="0.25">
      <c r="A6" s="13"/>
      <c r="B6" s="199" t="s">
        <v>23</v>
      </c>
      <c r="C6" s="200"/>
      <c r="D6" s="22">
        <f>D105</f>
        <v>153572</v>
      </c>
      <c r="E6" s="22">
        <f>E105</f>
        <v>153572</v>
      </c>
      <c r="F6" s="22">
        <f>F105</f>
        <v>153572</v>
      </c>
      <c r="G6" s="22">
        <f>G105</f>
        <v>118962.09999999999</v>
      </c>
      <c r="H6" s="23"/>
      <c r="I6" s="24">
        <f t="shared" ref="I6:N6" si="0">I105</f>
        <v>1771380</v>
      </c>
      <c r="J6" s="24">
        <f t="shared" si="0"/>
        <v>1771380</v>
      </c>
      <c r="K6" s="24">
        <f t="shared" si="0"/>
        <v>1771380</v>
      </c>
      <c r="L6" s="24">
        <f t="shared" si="0"/>
        <v>1805989.9</v>
      </c>
      <c r="M6" s="24">
        <f t="shared" si="0"/>
        <v>1805989.9</v>
      </c>
      <c r="N6" s="24">
        <f t="shared" si="0"/>
        <v>1805989.9</v>
      </c>
      <c r="O6" s="24">
        <f t="shared" ref="O6" si="1">O105</f>
        <v>1805989.9</v>
      </c>
      <c r="P6" s="23"/>
      <c r="Q6" s="24">
        <f>Q105</f>
        <v>1709022</v>
      </c>
      <c r="R6" s="24">
        <f>R105</f>
        <v>1709022</v>
      </c>
      <c r="S6" s="24">
        <f>S105</f>
        <v>1709022</v>
      </c>
      <c r="T6" s="24">
        <f>T105</f>
        <v>1709022</v>
      </c>
      <c r="U6" s="24">
        <f>U105</f>
        <v>2017550.82</v>
      </c>
      <c r="V6" s="23"/>
      <c r="W6" s="24">
        <f>W105</f>
        <v>1561650</v>
      </c>
      <c r="X6" s="24">
        <f>X105</f>
        <v>1561650</v>
      </c>
      <c r="Y6" s="24">
        <f>Y105</f>
        <v>1647459.4</v>
      </c>
      <c r="Z6" s="23"/>
      <c r="AA6" s="24">
        <f>AA105</f>
        <v>1525124</v>
      </c>
      <c r="AB6" s="24">
        <f>AB105</f>
        <v>1525124</v>
      </c>
      <c r="AC6" s="24">
        <f>AC105</f>
        <v>1606384</v>
      </c>
    </row>
    <row r="7" spans="1:29" ht="56.25" customHeight="1" thickBot="1" x14ac:dyDescent="0.25">
      <c r="A7" s="25" t="s">
        <v>24</v>
      </c>
      <c r="B7" s="26" t="s">
        <v>25</v>
      </c>
      <c r="C7" s="27" t="s">
        <v>26</v>
      </c>
      <c r="D7" s="81" t="s">
        <v>27</v>
      </c>
      <c r="E7" s="81" t="s">
        <v>28</v>
      </c>
      <c r="F7" s="100" t="s">
        <v>28</v>
      </c>
      <c r="G7" s="100" t="s">
        <v>121</v>
      </c>
      <c r="H7" s="28"/>
      <c r="I7" s="100" t="s">
        <v>29</v>
      </c>
      <c r="J7" s="100" t="s">
        <v>30</v>
      </c>
      <c r="K7" s="100" t="s">
        <v>30</v>
      </c>
      <c r="L7" s="100" t="s">
        <v>128</v>
      </c>
      <c r="M7" s="100" t="s">
        <v>129</v>
      </c>
      <c r="N7" s="100" t="s">
        <v>145</v>
      </c>
      <c r="O7" s="100" t="s">
        <v>160</v>
      </c>
      <c r="P7" s="28"/>
      <c r="Q7" s="100" t="s">
        <v>31</v>
      </c>
      <c r="R7" s="100" t="s">
        <v>32</v>
      </c>
      <c r="S7" s="100" t="s">
        <v>32</v>
      </c>
      <c r="T7" s="100" t="s">
        <v>146</v>
      </c>
      <c r="U7" s="100" t="s">
        <v>161</v>
      </c>
      <c r="V7" s="28"/>
      <c r="W7" s="100" t="s">
        <v>33</v>
      </c>
      <c r="X7" s="100" t="s">
        <v>34</v>
      </c>
      <c r="Y7" s="100" t="s">
        <v>162</v>
      </c>
      <c r="Z7" s="28"/>
      <c r="AA7" s="100" t="s">
        <v>35</v>
      </c>
      <c r="AB7" s="100" t="s">
        <v>163</v>
      </c>
      <c r="AC7" s="100" t="s">
        <v>164</v>
      </c>
    </row>
    <row r="8" spans="1:29" s="29" customFormat="1" ht="381.75" customHeight="1" x14ac:dyDescent="0.2">
      <c r="A8" s="201" t="s">
        <v>36</v>
      </c>
      <c r="B8" s="181" t="s">
        <v>175</v>
      </c>
      <c r="C8" s="202">
        <v>1100</v>
      </c>
      <c r="D8" s="183">
        <v>33280</v>
      </c>
      <c r="E8" s="183">
        <v>30485</v>
      </c>
      <c r="F8" s="183">
        <f>(15*10*65)+(5*25*65)+(3*8*65)</f>
        <v>19435</v>
      </c>
      <c r="G8" s="183">
        <v>8775.6</v>
      </c>
      <c r="H8" s="187"/>
      <c r="I8" s="129">
        <v>93275</v>
      </c>
      <c r="J8" s="129">
        <v>93275</v>
      </c>
      <c r="K8" s="183">
        <v>93275</v>
      </c>
      <c r="L8" s="183">
        <f>93275+9750+7280</f>
        <v>110305</v>
      </c>
      <c r="M8" s="183">
        <f>93275+9750+7280</f>
        <v>110305</v>
      </c>
      <c r="N8" s="183">
        <f>65520+9750+7280</f>
        <v>82550</v>
      </c>
      <c r="O8" s="183">
        <f>65520+9750+7280</f>
        <v>82550</v>
      </c>
      <c r="P8" s="187"/>
      <c r="Q8" s="129">
        <v>95550</v>
      </c>
      <c r="R8" s="183">
        <v>95550</v>
      </c>
      <c r="S8" s="183">
        <f>35*40*65</f>
        <v>91000</v>
      </c>
      <c r="T8" s="183">
        <v>78000</v>
      </c>
      <c r="U8" s="183">
        <f>82800+9660+3450</f>
        <v>95910</v>
      </c>
      <c r="V8" s="187"/>
      <c r="W8" s="183">
        <v>102375</v>
      </c>
      <c r="X8" s="183">
        <f>35*40*65</f>
        <v>91000</v>
      </c>
      <c r="Y8" s="183">
        <v>96600</v>
      </c>
      <c r="Z8" s="187"/>
      <c r="AA8" s="183">
        <v>91000</v>
      </c>
      <c r="AB8" s="183">
        <f>35*30*65</f>
        <v>68250</v>
      </c>
      <c r="AC8" s="185">
        <v>72450</v>
      </c>
    </row>
    <row r="9" spans="1:29" s="29" customFormat="1" ht="168" customHeight="1" x14ac:dyDescent="0.2">
      <c r="A9" s="190"/>
      <c r="B9" s="182"/>
      <c r="C9" s="203"/>
      <c r="D9" s="184"/>
      <c r="E9" s="184"/>
      <c r="F9" s="184"/>
      <c r="G9" s="184"/>
      <c r="H9" s="188"/>
      <c r="I9" s="130"/>
      <c r="J9" s="130"/>
      <c r="K9" s="184"/>
      <c r="L9" s="184"/>
      <c r="M9" s="184"/>
      <c r="N9" s="184"/>
      <c r="O9" s="184"/>
      <c r="P9" s="188"/>
      <c r="Q9" s="130"/>
      <c r="R9" s="184"/>
      <c r="S9" s="184"/>
      <c r="T9" s="184"/>
      <c r="U9" s="184"/>
      <c r="V9" s="188"/>
      <c r="W9" s="184"/>
      <c r="X9" s="184"/>
      <c r="Y9" s="184"/>
      <c r="Z9" s="188"/>
      <c r="AA9" s="184"/>
      <c r="AB9" s="184"/>
      <c r="AC9" s="186"/>
    </row>
    <row r="10" spans="1:29" s="29" customFormat="1" ht="102" customHeight="1" x14ac:dyDescent="0.2">
      <c r="A10" s="134" t="s">
        <v>36</v>
      </c>
      <c r="B10" s="105" t="s">
        <v>176</v>
      </c>
      <c r="C10" s="135">
        <v>1200</v>
      </c>
      <c r="D10" s="130"/>
      <c r="E10" s="130"/>
      <c r="F10" s="130"/>
      <c r="G10" s="130">
        <v>0</v>
      </c>
      <c r="H10" s="188"/>
      <c r="I10" s="130"/>
      <c r="J10" s="130"/>
      <c r="K10" s="130"/>
      <c r="L10" s="130"/>
      <c r="M10" s="130"/>
      <c r="N10" s="130"/>
      <c r="O10" s="130">
        <v>0</v>
      </c>
      <c r="P10" s="188"/>
      <c r="Q10" s="130"/>
      <c r="R10" s="130"/>
      <c r="S10" s="130"/>
      <c r="T10" s="130">
        <v>0</v>
      </c>
      <c r="U10" s="130">
        <v>3450</v>
      </c>
      <c r="V10" s="188"/>
      <c r="W10" s="130"/>
      <c r="X10" s="130">
        <v>0</v>
      </c>
      <c r="Y10" s="130">
        <v>0</v>
      </c>
      <c r="Z10" s="188"/>
      <c r="AA10" s="130"/>
      <c r="AB10" s="130">
        <v>0</v>
      </c>
      <c r="AC10" s="107">
        <v>0</v>
      </c>
    </row>
    <row r="11" spans="1:29" s="29" customFormat="1" ht="119.25" customHeight="1" x14ac:dyDescent="0.2">
      <c r="A11" s="134" t="s">
        <v>36</v>
      </c>
      <c r="B11" s="94" t="s">
        <v>177</v>
      </c>
      <c r="C11" s="139">
        <v>1900</v>
      </c>
      <c r="D11" s="132"/>
      <c r="E11" s="132"/>
      <c r="F11" s="132">
        <v>0</v>
      </c>
      <c r="G11" s="132">
        <v>0</v>
      </c>
      <c r="H11" s="177"/>
      <c r="I11" s="132"/>
      <c r="J11" s="132"/>
      <c r="K11" s="132">
        <v>0</v>
      </c>
      <c r="L11" s="132">
        <v>1040</v>
      </c>
      <c r="M11" s="132">
        <v>1040</v>
      </c>
      <c r="N11" s="132">
        <v>1495</v>
      </c>
      <c r="O11" s="132">
        <v>1495</v>
      </c>
      <c r="P11" s="177"/>
      <c r="Q11" s="132"/>
      <c r="R11" s="132">
        <v>0</v>
      </c>
      <c r="S11" s="132">
        <v>0</v>
      </c>
      <c r="T11" s="132">
        <v>0</v>
      </c>
      <c r="U11" s="132">
        <v>3450</v>
      </c>
      <c r="V11" s="177"/>
      <c r="W11" s="132">
        <v>0</v>
      </c>
      <c r="X11" s="132">
        <v>0</v>
      </c>
      <c r="Y11" s="132">
        <v>0</v>
      </c>
      <c r="Z11" s="177"/>
      <c r="AA11" s="132">
        <v>0</v>
      </c>
      <c r="AB11" s="132">
        <v>0</v>
      </c>
      <c r="AC11" s="104">
        <v>0</v>
      </c>
    </row>
    <row r="12" spans="1:29" s="29" customFormat="1" ht="368.25" customHeight="1" x14ac:dyDescent="0.2">
      <c r="A12" s="189" t="s">
        <v>37</v>
      </c>
      <c r="B12" s="97" t="s">
        <v>178</v>
      </c>
      <c r="C12" s="138">
        <v>1100</v>
      </c>
      <c r="D12" s="131">
        <v>77350</v>
      </c>
      <c r="E12" s="131">
        <f>32240+24180</f>
        <v>56420</v>
      </c>
      <c r="F12" s="131">
        <f>(24*16*65)+(24*12*65)</f>
        <v>43680</v>
      </c>
      <c r="G12" s="131">
        <v>27090.42</v>
      </c>
      <c r="H12" s="140"/>
      <c r="I12" s="131">
        <v>40950</v>
      </c>
      <c r="J12" s="131">
        <v>40950</v>
      </c>
      <c r="K12" s="131">
        <f>25*12*65</f>
        <v>19500</v>
      </c>
      <c r="L12" s="131">
        <v>19500</v>
      </c>
      <c r="M12" s="131">
        <v>19500</v>
      </c>
      <c r="N12" s="131">
        <f>68250+1170+8320</f>
        <v>77740</v>
      </c>
      <c r="O12" s="131">
        <f>68250+1170+8320</f>
        <v>77740</v>
      </c>
      <c r="P12" s="140"/>
      <c r="Q12" s="131">
        <v>40950</v>
      </c>
      <c r="R12" s="131">
        <v>40950</v>
      </c>
      <c r="S12" s="131">
        <f>25*12*65</f>
        <v>19500</v>
      </c>
      <c r="T12" s="131">
        <f>25*12*65</f>
        <v>19500</v>
      </c>
      <c r="U12" s="131">
        <v>29808</v>
      </c>
      <c r="V12" s="140"/>
      <c r="W12" s="131">
        <v>40950</v>
      </c>
      <c r="X12" s="131">
        <f>25*12*65</f>
        <v>19500</v>
      </c>
      <c r="Y12" s="131">
        <v>20700</v>
      </c>
      <c r="Z12" s="140"/>
      <c r="AA12" s="131">
        <v>40950</v>
      </c>
      <c r="AB12" s="131">
        <f>25*12*65</f>
        <v>19500</v>
      </c>
      <c r="AC12" s="142">
        <v>20700</v>
      </c>
    </row>
    <row r="13" spans="1:29" s="29" customFormat="1" ht="82.5" customHeight="1" x14ac:dyDescent="0.2">
      <c r="A13" s="190"/>
      <c r="B13" s="123" t="s">
        <v>167</v>
      </c>
      <c r="C13" s="135">
        <v>1200</v>
      </c>
      <c r="D13" s="130"/>
      <c r="E13" s="130"/>
      <c r="F13" s="130"/>
      <c r="G13" s="130">
        <v>0</v>
      </c>
      <c r="H13" s="136"/>
      <c r="I13" s="130"/>
      <c r="J13" s="130"/>
      <c r="K13" s="130"/>
      <c r="L13" s="130"/>
      <c r="M13" s="130"/>
      <c r="N13" s="130"/>
      <c r="O13" s="130">
        <v>0</v>
      </c>
      <c r="P13" s="136"/>
      <c r="Q13" s="130"/>
      <c r="R13" s="130"/>
      <c r="S13" s="130"/>
      <c r="T13" s="130">
        <v>0</v>
      </c>
      <c r="U13" s="130">
        <v>1656</v>
      </c>
      <c r="V13" s="136"/>
      <c r="W13" s="130"/>
      <c r="X13" s="130">
        <v>0</v>
      </c>
      <c r="Y13" s="130">
        <v>0</v>
      </c>
      <c r="Z13" s="136"/>
      <c r="AA13" s="130"/>
      <c r="AB13" s="130">
        <v>0</v>
      </c>
      <c r="AC13" s="107">
        <v>0</v>
      </c>
    </row>
    <row r="14" spans="1:29" s="29" customFormat="1" ht="150" x14ac:dyDescent="0.2">
      <c r="A14" s="191"/>
      <c r="B14" s="120" t="s">
        <v>179</v>
      </c>
      <c r="C14" s="139">
        <v>1900</v>
      </c>
      <c r="D14" s="132"/>
      <c r="E14" s="132"/>
      <c r="F14" s="132">
        <v>0</v>
      </c>
      <c r="G14" s="132">
        <v>0</v>
      </c>
      <c r="H14" s="137"/>
      <c r="I14" s="132"/>
      <c r="J14" s="132"/>
      <c r="K14" s="132"/>
      <c r="L14" s="132"/>
      <c r="M14" s="132">
        <v>0</v>
      </c>
      <c r="N14" s="132">
        <v>1170</v>
      </c>
      <c r="O14" s="132">
        <v>1170</v>
      </c>
      <c r="P14" s="137"/>
      <c r="Q14" s="132"/>
      <c r="R14" s="132"/>
      <c r="S14" s="132">
        <v>0</v>
      </c>
      <c r="T14" s="132">
        <v>0</v>
      </c>
      <c r="U14" s="132">
        <v>1656</v>
      </c>
      <c r="V14" s="137"/>
      <c r="W14" s="132">
        <v>0</v>
      </c>
      <c r="X14" s="132">
        <v>0</v>
      </c>
      <c r="Y14" s="132">
        <v>0</v>
      </c>
      <c r="Z14" s="137"/>
      <c r="AA14" s="132">
        <v>0</v>
      </c>
      <c r="AB14" s="132">
        <v>0</v>
      </c>
      <c r="AC14" s="104">
        <v>0</v>
      </c>
    </row>
    <row r="15" spans="1:29" s="29" customFormat="1" ht="196.5" customHeight="1" x14ac:dyDescent="0.2">
      <c r="A15" s="30" t="s">
        <v>38</v>
      </c>
      <c r="B15" s="3" t="s">
        <v>180</v>
      </c>
      <c r="C15" s="31">
        <v>1100</v>
      </c>
      <c r="D15" s="5">
        <v>0</v>
      </c>
      <c r="E15" s="5">
        <v>0</v>
      </c>
      <c r="F15" s="5">
        <v>0</v>
      </c>
      <c r="G15" s="5">
        <v>0</v>
      </c>
      <c r="H15" s="32"/>
      <c r="I15" s="5">
        <v>56160</v>
      </c>
      <c r="J15" s="5">
        <v>56160</v>
      </c>
      <c r="K15" s="5">
        <f>(4*144*65)+(2*90*65)</f>
        <v>49140</v>
      </c>
      <c r="L15" s="5">
        <f>(4*144*65)+(2*90*65)</f>
        <v>49140</v>
      </c>
      <c r="M15" s="5">
        <f>(4*144*65)+(2*90*65)</f>
        <v>49140</v>
      </c>
      <c r="N15" s="5">
        <f>5850</f>
        <v>5850</v>
      </c>
      <c r="O15" s="5">
        <f>5850</f>
        <v>5850</v>
      </c>
      <c r="P15" s="32"/>
      <c r="Q15" s="5">
        <v>56160</v>
      </c>
      <c r="R15" s="5">
        <v>56160</v>
      </c>
      <c r="S15" s="5">
        <f>(4*144*65)+(2*90*65)</f>
        <v>49140</v>
      </c>
      <c r="T15" s="5">
        <f>(4*144*65)+(2*90*65)</f>
        <v>49140</v>
      </c>
      <c r="U15" s="5">
        <f>39744+37260</f>
        <v>77004</v>
      </c>
      <c r="V15" s="32"/>
      <c r="W15" s="5">
        <v>56160</v>
      </c>
      <c r="X15" s="5">
        <f>(4*144*65)+(2*90*65)</f>
        <v>49140</v>
      </c>
      <c r="Y15" s="5">
        <f>39744+12420</f>
        <v>52164</v>
      </c>
      <c r="Z15" s="32"/>
      <c r="AA15" s="5">
        <v>56160</v>
      </c>
      <c r="AB15" s="5">
        <f>(4*144*65)+(2*90*65)</f>
        <v>49140</v>
      </c>
      <c r="AC15" s="143">
        <f>39744+12420</f>
        <v>52164</v>
      </c>
    </row>
    <row r="16" spans="1:29" s="29" customFormat="1" ht="312" customHeight="1" x14ac:dyDescent="0.2">
      <c r="A16" s="189" t="s">
        <v>38</v>
      </c>
      <c r="B16" s="108" t="s">
        <v>181</v>
      </c>
      <c r="C16" s="138">
        <v>1100</v>
      </c>
      <c r="D16" s="131">
        <v>0</v>
      </c>
      <c r="E16" s="131">
        <v>0</v>
      </c>
      <c r="F16" s="131">
        <v>0</v>
      </c>
      <c r="G16" s="131">
        <v>0</v>
      </c>
      <c r="H16" s="140"/>
      <c r="I16" s="131">
        <v>57200</v>
      </c>
      <c r="J16" s="131">
        <v>57200</v>
      </c>
      <c r="K16" s="131">
        <v>0</v>
      </c>
      <c r="L16" s="131">
        <v>7020</v>
      </c>
      <c r="M16" s="131">
        <v>7020</v>
      </c>
      <c r="N16" s="131">
        <f>4680+15600+7020</f>
        <v>27300</v>
      </c>
      <c r="O16" s="131">
        <f>4680+15600+7020</f>
        <v>27300</v>
      </c>
      <c r="P16" s="140"/>
      <c r="Q16" s="131">
        <v>57200</v>
      </c>
      <c r="R16" s="131">
        <v>57200</v>
      </c>
      <c r="S16" s="131">
        <v>57200</v>
      </c>
      <c r="T16" s="131">
        <f>46800</f>
        <v>46800</v>
      </c>
      <c r="U16" s="131">
        <f>49680+12420+414</f>
        <v>62514</v>
      </c>
      <c r="V16" s="140"/>
      <c r="W16" s="131">
        <v>57200</v>
      </c>
      <c r="X16" s="131">
        <v>57200</v>
      </c>
      <c r="Y16" s="131">
        <f>49680+11040</f>
        <v>60720</v>
      </c>
      <c r="Z16" s="140"/>
      <c r="AA16" s="131">
        <v>57200</v>
      </c>
      <c r="AB16" s="131">
        <v>57200</v>
      </c>
      <c r="AC16" s="144">
        <f>49680+11040</f>
        <v>60720</v>
      </c>
    </row>
    <row r="17" spans="1:29" s="29" customFormat="1" ht="130.5" customHeight="1" x14ac:dyDescent="0.2">
      <c r="A17" s="190"/>
      <c r="B17" s="106" t="s">
        <v>182</v>
      </c>
      <c r="C17" s="135">
        <v>1200</v>
      </c>
      <c r="D17" s="130"/>
      <c r="E17" s="130"/>
      <c r="F17" s="130">
        <v>0</v>
      </c>
      <c r="G17" s="130">
        <v>0</v>
      </c>
      <c r="H17" s="136"/>
      <c r="I17" s="130"/>
      <c r="J17" s="130"/>
      <c r="K17" s="130">
        <v>0</v>
      </c>
      <c r="L17" s="130">
        <v>390</v>
      </c>
      <c r="M17" s="130">
        <v>390</v>
      </c>
      <c r="N17" s="130">
        <f>390+3900</f>
        <v>4290</v>
      </c>
      <c r="O17" s="130">
        <f>390+3900</f>
        <v>4290</v>
      </c>
      <c r="P17" s="136"/>
      <c r="Q17" s="130">
        <v>0</v>
      </c>
      <c r="R17" s="130">
        <v>0</v>
      </c>
      <c r="S17" s="130">
        <v>0</v>
      </c>
      <c r="T17" s="130">
        <v>3900</v>
      </c>
      <c r="U17" s="130">
        <f>4140+414</f>
        <v>4554</v>
      </c>
      <c r="V17" s="136"/>
      <c r="W17" s="130">
        <v>0</v>
      </c>
      <c r="X17" s="130">
        <v>0</v>
      </c>
      <c r="Y17" s="130">
        <v>0</v>
      </c>
      <c r="Z17" s="136"/>
      <c r="AA17" s="130">
        <v>0</v>
      </c>
      <c r="AB17" s="130">
        <v>0</v>
      </c>
      <c r="AC17" s="107">
        <v>0</v>
      </c>
    </row>
    <row r="18" spans="1:29" s="29" customFormat="1" ht="132" customHeight="1" x14ac:dyDescent="0.2">
      <c r="A18" s="191"/>
      <c r="B18" s="105" t="s">
        <v>183</v>
      </c>
      <c r="C18" s="139">
        <v>1900</v>
      </c>
      <c r="D18" s="132"/>
      <c r="E18" s="132"/>
      <c r="F18" s="132">
        <v>0</v>
      </c>
      <c r="G18" s="132">
        <v>0</v>
      </c>
      <c r="H18" s="137"/>
      <c r="I18" s="132"/>
      <c r="J18" s="132"/>
      <c r="K18" s="132">
        <v>0</v>
      </c>
      <c r="L18" s="132">
        <v>396</v>
      </c>
      <c r="M18" s="132">
        <v>396</v>
      </c>
      <c r="N18" s="132">
        <f>396+3960</f>
        <v>4356</v>
      </c>
      <c r="O18" s="132">
        <f>396+3960</f>
        <v>4356</v>
      </c>
      <c r="P18" s="137"/>
      <c r="Q18" s="132">
        <v>0</v>
      </c>
      <c r="R18" s="132">
        <v>0</v>
      </c>
      <c r="S18" s="132">
        <v>0</v>
      </c>
      <c r="T18" s="132">
        <v>3960</v>
      </c>
      <c r="U18" s="132">
        <f>4140+414</f>
        <v>4554</v>
      </c>
      <c r="V18" s="137"/>
      <c r="W18" s="132">
        <v>0</v>
      </c>
      <c r="X18" s="132">
        <v>0</v>
      </c>
      <c r="Y18" s="132">
        <v>0</v>
      </c>
      <c r="Z18" s="137"/>
      <c r="AA18" s="132">
        <v>0</v>
      </c>
      <c r="AB18" s="132">
        <v>0</v>
      </c>
      <c r="AC18" s="104">
        <v>0</v>
      </c>
    </row>
    <row r="19" spans="1:29" s="29" customFormat="1" ht="409.6" customHeight="1" x14ac:dyDescent="0.2">
      <c r="A19" s="189" t="s">
        <v>38</v>
      </c>
      <c r="B19" s="192" t="s">
        <v>184</v>
      </c>
      <c r="C19" s="194">
        <v>1300</v>
      </c>
      <c r="D19" s="5">
        <v>0</v>
      </c>
      <c r="E19" s="5">
        <v>1775</v>
      </c>
      <c r="F19" s="174">
        <v>1775</v>
      </c>
      <c r="G19" s="174">
        <v>1757.69</v>
      </c>
      <c r="H19" s="176"/>
      <c r="I19" s="5">
        <v>9940</v>
      </c>
      <c r="J19" s="5">
        <v>9940</v>
      </c>
      <c r="K19" s="5">
        <v>9940</v>
      </c>
      <c r="L19" s="5">
        <f>9940+6816</f>
        <v>16756</v>
      </c>
      <c r="M19" s="174">
        <f>9940+6816</f>
        <v>16756</v>
      </c>
      <c r="N19" s="174">
        <f>8520+4260+6816+852</f>
        <v>20448</v>
      </c>
      <c r="O19" s="174">
        <f>8520+4260+6816+852-6395</f>
        <v>14053</v>
      </c>
      <c r="P19" s="176"/>
      <c r="Q19" s="5">
        <v>9940</v>
      </c>
      <c r="R19" s="5">
        <v>9940</v>
      </c>
      <c r="S19" s="174">
        <v>9940</v>
      </c>
      <c r="T19" s="174">
        <f>8520+2840</f>
        <v>11360</v>
      </c>
      <c r="U19" s="174">
        <f>7680+2560</f>
        <v>10240</v>
      </c>
      <c r="V19" s="176"/>
      <c r="W19" s="174">
        <v>9940</v>
      </c>
      <c r="X19" s="174">
        <v>9940</v>
      </c>
      <c r="Y19" s="174">
        <f>7680+1280</f>
        <v>8960</v>
      </c>
      <c r="Z19" s="176"/>
      <c r="AA19" s="174">
        <v>9940</v>
      </c>
      <c r="AB19" s="174">
        <v>9940</v>
      </c>
      <c r="AC19" s="178">
        <f>7680+1280</f>
        <v>8960</v>
      </c>
    </row>
    <row r="20" spans="1:29" s="29" customFormat="1" ht="66" customHeight="1" x14ac:dyDescent="0.2">
      <c r="A20" s="191"/>
      <c r="B20" s="193"/>
      <c r="C20" s="195"/>
      <c r="D20" s="5"/>
      <c r="E20" s="5"/>
      <c r="F20" s="175"/>
      <c r="G20" s="175"/>
      <c r="H20" s="177"/>
      <c r="I20" s="5"/>
      <c r="J20" s="5"/>
      <c r="K20" s="5"/>
      <c r="L20" s="5"/>
      <c r="M20" s="175"/>
      <c r="N20" s="175"/>
      <c r="O20" s="175"/>
      <c r="P20" s="177"/>
      <c r="Q20" s="5"/>
      <c r="R20" s="5"/>
      <c r="S20" s="175"/>
      <c r="T20" s="175"/>
      <c r="U20" s="175"/>
      <c r="V20" s="177"/>
      <c r="W20" s="175"/>
      <c r="X20" s="175"/>
      <c r="Y20" s="175"/>
      <c r="Z20" s="177"/>
      <c r="AA20" s="175"/>
      <c r="AB20" s="175"/>
      <c r="AC20" s="179"/>
    </row>
    <row r="21" spans="1:29" s="29" customFormat="1" ht="193.5" customHeight="1" x14ac:dyDescent="0.2">
      <c r="A21" s="30" t="s">
        <v>38</v>
      </c>
      <c r="B21" s="3" t="s">
        <v>185</v>
      </c>
      <c r="C21" s="31">
        <v>1100</v>
      </c>
      <c r="D21" s="5">
        <v>0</v>
      </c>
      <c r="E21" s="5">
        <v>0</v>
      </c>
      <c r="F21" s="5">
        <v>0</v>
      </c>
      <c r="G21" s="5">
        <v>0</v>
      </c>
      <c r="H21" s="32"/>
      <c r="I21" s="5">
        <v>45500</v>
      </c>
      <c r="J21" s="5">
        <v>45500</v>
      </c>
      <c r="K21" s="5">
        <v>45500</v>
      </c>
      <c r="L21" s="5">
        <v>45500</v>
      </c>
      <c r="M21" s="5">
        <v>45500</v>
      </c>
      <c r="N21" s="5">
        <v>13000</v>
      </c>
      <c r="O21" s="5">
        <v>13000</v>
      </c>
      <c r="P21" s="32"/>
      <c r="Q21" s="5">
        <v>45500</v>
      </c>
      <c r="R21" s="5">
        <v>45500</v>
      </c>
      <c r="S21" s="5">
        <f>(1*1*5*35*65)</f>
        <v>11375</v>
      </c>
      <c r="T21" s="5">
        <v>0</v>
      </c>
      <c r="U21" s="5">
        <v>13800</v>
      </c>
      <c r="V21" s="32"/>
      <c r="W21" s="5">
        <v>45500</v>
      </c>
      <c r="X21" s="5">
        <f>(1*1*5*35*65)</f>
        <v>11375</v>
      </c>
      <c r="Y21" s="5">
        <v>12075</v>
      </c>
      <c r="Z21" s="32"/>
      <c r="AA21" s="5">
        <v>45500</v>
      </c>
      <c r="AB21" s="5">
        <f>(1*1*5*35*65)</f>
        <v>11375</v>
      </c>
      <c r="AC21" s="75">
        <v>12075</v>
      </c>
    </row>
    <row r="22" spans="1:29" s="29" customFormat="1" ht="147.94999999999999" customHeight="1" x14ac:dyDescent="0.2">
      <c r="A22" s="33" t="s">
        <v>39</v>
      </c>
      <c r="B22" s="3" t="s">
        <v>104</v>
      </c>
      <c r="C22" s="31">
        <v>1100</v>
      </c>
      <c r="D22" s="5">
        <v>1045</v>
      </c>
      <c r="E22" s="5">
        <v>1045</v>
      </c>
      <c r="F22" s="5">
        <v>0</v>
      </c>
      <c r="G22" s="5">
        <v>0</v>
      </c>
      <c r="H22" s="32"/>
      <c r="I22" s="5">
        <v>4180</v>
      </c>
      <c r="J22" s="5">
        <v>4180</v>
      </c>
      <c r="K22" s="5">
        <v>4180</v>
      </c>
      <c r="L22" s="5">
        <v>4180</v>
      </c>
      <c r="M22" s="5">
        <v>4180</v>
      </c>
      <c r="N22" s="5">
        <v>4180</v>
      </c>
      <c r="O22" s="5">
        <v>4180</v>
      </c>
      <c r="P22" s="32"/>
      <c r="Q22" s="5">
        <v>4180</v>
      </c>
      <c r="R22" s="5">
        <v>4180</v>
      </c>
      <c r="S22" s="5">
        <v>4180</v>
      </c>
      <c r="T22" s="5">
        <v>4180</v>
      </c>
      <c r="U22" s="5">
        <v>4180</v>
      </c>
      <c r="V22" s="32"/>
      <c r="W22" s="5">
        <v>4180</v>
      </c>
      <c r="X22" s="5">
        <v>4180</v>
      </c>
      <c r="Y22" s="5">
        <v>4180</v>
      </c>
      <c r="Z22" s="32"/>
      <c r="AA22" s="5">
        <v>4180</v>
      </c>
      <c r="AB22" s="5">
        <v>4180</v>
      </c>
      <c r="AC22" s="75">
        <v>4180</v>
      </c>
    </row>
    <row r="23" spans="1:29" s="29" customFormat="1" ht="130.5" customHeight="1" x14ac:dyDescent="0.2">
      <c r="A23" s="33" t="s">
        <v>102</v>
      </c>
      <c r="B23" s="84" t="s">
        <v>105</v>
      </c>
      <c r="C23" s="31">
        <v>1300</v>
      </c>
      <c r="D23" s="5">
        <v>0</v>
      </c>
      <c r="E23" s="5">
        <v>0</v>
      </c>
      <c r="F23" s="5">
        <v>0</v>
      </c>
      <c r="G23" s="5">
        <v>0</v>
      </c>
      <c r="H23" s="32"/>
      <c r="I23" s="5">
        <v>0</v>
      </c>
      <c r="J23" s="5">
        <v>0</v>
      </c>
      <c r="K23" s="5">
        <v>110941</v>
      </c>
      <c r="L23" s="5">
        <v>83328</v>
      </c>
      <c r="M23" s="5">
        <v>83328</v>
      </c>
      <c r="N23" s="5">
        <v>83328</v>
      </c>
      <c r="O23" s="5">
        <v>83328</v>
      </c>
      <c r="P23" s="32"/>
      <c r="Q23" s="5">
        <v>0</v>
      </c>
      <c r="R23" s="5">
        <v>0</v>
      </c>
      <c r="S23" s="5">
        <v>110941</v>
      </c>
      <c r="T23" s="5">
        <v>88048</v>
      </c>
      <c r="U23" s="5">
        <v>93411</v>
      </c>
      <c r="V23" s="32"/>
      <c r="W23" s="5">
        <v>0</v>
      </c>
      <c r="X23" s="5">
        <v>110941</v>
      </c>
      <c r="Y23" s="5">
        <v>93411</v>
      </c>
      <c r="Z23" s="32"/>
      <c r="AA23" s="5">
        <v>0</v>
      </c>
      <c r="AB23" s="5">
        <v>110941</v>
      </c>
      <c r="AC23" s="75">
        <v>93411</v>
      </c>
    </row>
    <row r="24" spans="1:29" s="29" customFormat="1" ht="70.5" customHeight="1" x14ac:dyDescent="0.2">
      <c r="A24" s="34" t="s">
        <v>103</v>
      </c>
      <c r="B24" s="3" t="s">
        <v>41</v>
      </c>
      <c r="C24" s="31">
        <v>1200</v>
      </c>
      <c r="D24" s="5">
        <v>0</v>
      </c>
      <c r="E24" s="5">
        <v>0</v>
      </c>
      <c r="F24" s="5">
        <v>0</v>
      </c>
      <c r="G24" s="5">
        <v>0</v>
      </c>
      <c r="H24" s="32"/>
      <c r="I24" s="5">
        <v>84436</v>
      </c>
      <c r="J24" s="5">
        <v>84436</v>
      </c>
      <c r="K24" s="5">
        <v>84436</v>
      </c>
      <c r="L24" s="5">
        <v>84436</v>
      </c>
      <c r="M24" s="5">
        <v>84436</v>
      </c>
      <c r="N24" s="5">
        <f>23850+45201+3988</f>
        <v>73039</v>
      </c>
      <c r="O24" s="5">
        <f>23850+45201+3988</f>
        <v>73039</v>
      </c>
      <c r="P24" s="32"/>
      <c r="Q24" s="5">
        <v>84436</v>
      </c>
      <c r="R24" s="5">
        <v>84436</v>
      </c>
      <c r="S24" s="5">
        <v>84436</v>
      </c>
      <c r="T24" s="5">
        <v>71549</v>
      </c>
      <c r="U24" s="5">
        <v>89581</v>
      </c>
      <c r="V24" s="32"/>
      <c r="W24" s="5">
        <v>84436</v>
      </c>
      <c r="X24" s="5">
        <v>84436</v>
      </c>
      <c r="Y24" s="5">
        <v>89581</v>
      </c>
      <c r="Z24" s="32"/>
      <c r="AA24" s="5">
        <v>84436</v>
      </c>
      <c r="AB24" s="5">
        <v>84436</v>
      </c>
      <c r="AC24" s="75">
        <v>89581</v>
      </c>
    </row>
    <row r="25" spans="1:29" s="29" customFormat="1" ht="87" customHeight="1" x14ac:dyDescent="0.2">
      <c r="A25" s="34" t="s">
        <v>40</v>
      </c>
      <c r="B25" s="3" t="s">
        <v>42</v>
      </c>
      <c r="C25" s="31">
        <v>1200</v>
      </c>
      <c r="D25" s="5">
        <v>0</v>
      </c>
      <c r="E25" s="5">
        <v>0</v>
      </c>
      <c r="F25" s="5">
        <v>0</v>
      </c>
      <c r="G25" s="5">
        <v>0</v>
      </c>
      <c r="H25" s="32"/>
      <c r="I25" s="5">
        <v>51272</v>
      </c>
      <c r="J25" s="5">
        <v>51272</v>
      </c>
      <c r="K25" s="5">
        <v>51272</v>
      </c>
      <c r="L25" s="5">
        <v>51272</v>
      </c>
      <c r="M25" s="5">
        <v>51272</v>
      </c>
      <c r="N25" s="5">
        <v>51953</v>
      </c>
      <c r="O25" s="5">
        <v>51953</v>
      </c>
      <c r="P25" s="32"/>
      <c r="Q25" s="5">
        <v>51272</v>
      </c>
      <c r="R25" s="5">
        <v>51272</v>
      </c>
      <c r="S25" s="5">
        <v>51272</v>
      </c>
      <c r="T25" s="5">
        <v>50662</v>
      </c>
      <c r="U25" s="5">
        <v>53748</v>
      </c>
      <c r="V25" s="32"/>
      <c r="W25" s="5">
        <v>51272</v>
      </c>
      <c r="X25" s="5">
        <v>51272</v>
      </c>
      <c r="Y25" s="5">
        <v>53748</v>
      </c>
      <c r="Z25" s="32"/>
      <c r="AA25" s="5">
        <v>51272</v>
      </c>
      <c r="AB25" s="5">
        <v>51272</v>
      </c>
      <c r="AC25" s="75">
        <v>53748</v>
      </c>
    </row>
    <row r="26" spans="1:29" s="29" customFormat="1" ht="72" customHeight="1" x14ac:dyDescent="0.2">
      <c r="A26" s="34" t="s">
        <v>43</v>
      </c>
      <c r="B26" s="3" t="s">
        <v>44</v>
      </c>
      <c r="C26" s="31">
        <v>1100</v>
      </c>
      <c r="D26" s="5">
        <v>0</v>
      </c>
      <c r="E26" s="5">
        <v>0</v>
      </c>
      <c r="F26" s="5">
        <v>0</v>
      </c>
      <c r="G26" s="5">
        <v>0</v>
      </c>
      <c r="H26" s="32"/>
      <c r="I26" s="5">
        <v>80953</v>
      </c>
      <c r="J26" s="5">
        <v>80953</v>
      </c>
      <c r="K26" s="5">
        <v>80953</v>
      </c>
      <c r="L26" s="5">
        <f>82802+2090</f>
        <v>84892</v>
      </c>
      <c r="M26" s="5">
        <f>82802+2090</f>
        <v>84892</v>
      </c>
      <c r="N26" s="5">
        <f>82802+2090</f>
        <v>84892</v>
      </c>
      <c r="O26" s="5">
        <f>82802+2090</f>
        <v>84892</v>
      </c>
      <c r="P26" s="32"/>
      <c r="Q26" s="5">
        <v>80953</v>
      </c>
      <c r="R26" s="5">
        <v>80953</v>
      </c>
      <c r="S26" s="5">
        <v>80953</v>
      </c>
      <c r="T26" s="5">
        <f>82802+2090</f>
        <v>84892</v>
      </c>
      <c r="U26" s="5">
        <v>87845</v>
      </c>
      <c r="V26" s="32"/>
      <c r="W26" s="5">
        <v>80953</v>
      </c>
      <c r="X26" s="5">
        <v>80953</v>
      </c>
      <c r="Y26" s="5">
        <v>87845</v>
      </c>
      <c r="Z26" s="32"/>
      <c r="AA26" s="5">
        <v>80953</v>
      </c>
      <c r="AB26" s="5">
        <v>80953</v>
      </c>
      <c r="AC26" s="143">
        <v>87845</v>
      </c>
    </row>
    <row r="27" spans="1:29" s="29" customFormat="1" ht="85.5" customHeight="1" x14ac:dyDescent="0.2">
      <c r="A27" s="34" t="s">
        <v>43</v>
      </c>
      <c r="B27" s="3" t="s">
        <v>45</v>
      </c>
      <c r="C27" s="31">
        <v>1100</v>
      </c>
      <c r="D27" s="5">
        <v>0</v>
      </c>
      <c r="E27" s="5">
        <v>0</v>
      </c>
      <c r="F27" s="5">
        <v>0</v>
      </c>
      <c r="G27" s="5">
        <v>0</v>
      </c>
      <c r="H27" s="32"/>
      <c r="I27" s="5">
        <v>80953</v>
      </c>
      <c r="J27" s="5">
        <v>80953</v>
      </c>
      <c r="K27" s="5">
        <v>80953</v>
      </c>
      <c r="L27" s="5">
        <f>66883+2090</f>
        <v>68973</v>
      </c>
      <c r="M27" s="5">
        <f>66883+2090</f>
        <v>68973</v>
      </c>
      <c r="N27" s="5">
        <f>66883+2090</f>
        <v>68973</v>
      </c>
      <c r="O27" s="5">
        <f>66883+2090</f>
        <v>68973</v>
      </c>
      <c r="P27" s="32"/>
      <c r="Q27" s="5">
        <v>80953</v>
      </c>
      <c r="R27" s="5">
        <v>80953</v>
      </c>
      <c r="S27" s="5">
        <v>80953</v>
      </c>
      <c r="T27" s="5">
        <f>70141+2090</f>
        <v>72231</v>
      </c>
      <c r="U27" s="5">
        <v>70957</v>
      </c>
      <c r="V27" s="32"/>
      <c r="W27" s="5">
        <v>80953</v>
      </c>
      <c r="X27" s="5">
        <v>80953</v>
      </c>
      <c r="Y27" s="5">
        <v>70957</v>
      </c>
      <c r="Z27" s="32"/>
      <c r="AA27" s="5">
        <v>80953</v>
      </c>
      <c r="AB27" s="5">
        <v>80953</v>
      </c>
      <c r="AC27" s="143">
        <v>70957</v>
      </c>
    </row>
    <row r="28" spans="1:29" s="29" customFormat="1" ht="58.5" customHeight="1" x14ac:dyDescent="0.2">
      <c r="A28" s="34" t="s">
        <v>43</v>
      </c>
      <c r="B28" s="3" t="s">
        <v>46</v>
      </c>
      <c r="C28" s="31">
        <v>1100</v>
      </c>
      <c r="D28" s="5">
        <v>0</v>
      </c>
      <c r="E28" s="5">
        <v>0</v>
      </c>
      <c r="F28" s="5">
        <v>0</v>
      </c>
      <c r="G28" s="5">
        <v>0</v>
      </c>
      <c r="H28" s="32"/>
      <c r="I28" s="5">
        <v>80953</v>
      </c>
      <c r="J28" s="5">
        <v>80953</v>
      </c>
      <c r="K28" s="5">
        <v>80953</v>
      </c>
      <c r="L28" s="5">
        <f>50366+2090</f>
        <v>52456</v>
      </c>
      <c r="M28" s="5">
        <v>52456</v>
      </c>
      <c r="N28" s="5">
        <v>52456</v>
      </c>
      <c r="O28" s="5">
        <v>58851</v>
      </c>
      <c r="P28" s="32"/>
      <c r="Q28" s="5">
        <v>80953</v>
      </c>
      <c r="R28" s="5">
        <v>80953</v>
      </c>
      <c r="S28" s="5">
        <v>80953</v>
      </c>
      <c r="T28" s="5">
        <f>60332+2090</f>
        <v>62422</v>
      </c>
      <c r="U28" s="5">
        <v>64007</v>
      </c>
      <c r="V28" s="32"/>
      <c r="W28" s="5">
        <v>80953</v>
      </c>
      <c r="X28" s="5">
        <v>80953</v>
      </c>
      <c r="Y28" s="5">
        <v>64007</v>
      </c>
      <c r="Z28" s="32"/>
      <c r="AA28" s="5">
        <v>80953</v>
      </c>
      <c r="AB28" s="5">
        <v>80953</v>
      </c>
      <c r="AC28" s="143">
        <v>64007</v>
      </c>
    </row>
    <row r="29" spans="1:29" s="29" customFormat="1" ht="69" customHeight="1" x14ac:dyDescent="0.2">
      <c r="A29" s="30" t="s">
        <v>43</v>
      </c>
      <c r="B29" s="121" t="s">
        <v>149</v>
      </c>
      <c r="C29" s="31">
        <v>1100</v>
      </c>
      <c r="D29" s="5"/>
      <c r="E29" s="5"/>
      <c r="F29" s="5">
        <v>0</v>
      </c>
      <c r="G29" s="5">
        <v>0</v>
      </c>
      <c r="H29" s="32"/>
      <c r="I29" s="5"/>
      <c r="J29" s="5"/>
      <c r="K29" s="5"/>
      <c r="L29" s="5"/>
      <c r="M29" s="5">
        <v>0</v>
      </c>
      <c r="N29" s="5">
        <v>0</v>
      </c>
      <c r="O29" s="5">
        <v>0</v>
      </c>
      <c r="P29" s="32"/>
      <c r="Q29" s="5"/>
      <c r="R29" s="5"/>
      <c r="S29" s="5">
        <v>0</v>
      </c>
      <c r="T29" s="5">
        <v>80117</v>
      </c>
      <c r="U29" s="5">
        <v>84997</v>
      </c>
      <c r="V29" s="32"/>
      <c r="W29" s="5">
        <v>0</v>
      </c>
      <c r="X29" s="5">
        <v>0</v>
      </c>
      <c r="Y29" s="5">
        <v>0</v>
      </c>
      <c r="Z29" s="32"/>
      <c r="AA29" s="5">
        <v>0</v>
      </c>
      <c r="AB29" s="5">
        <v>0</v>
      </c>
      <c r="AC29" s="75">
        <v>0</v>
      </c>
    </row>
    <row r="30" spans="1:29" s="29" customFormat="1" ht="87" customHeight="1" x14ac:dyDescent="0.2">
      <c r="A30" s="34" t="s">
        <v>47</v>
      </c>
      <c r="B30" s="3" t="s">
        <v>48</v>
      </c>
      <c r="C30" s="31">
        <v>1900</v>
      </c>
      <c r="D30" s="5">
        <v>0</v>
      </c>
      <c r="E30" s="5">
        <v>0</v>
      </c>
      <c r="F30" s="5">
        <v>0</v>
      </c>
      <c r="G30" s="5">
        <v>0</v>
      </c>
      <c r="H30" s="32"/>
      <c r="I30" s="5">
        <v>40059</v>
      </c>
      <c r="J30" s="5">
        <v>40059</v>
      </c>
      <c r="K30" s="5">
        <v>40059</v>
      </c>
      <c r="L30" s="5">
        <v>40059</v>
      </c>
      <c r="M30" s="5">
        <v>40059</v>
      </c>
      <c r="N30" s="5">
        <v>29814</v>
      </c>
      <c r="O30" s="5">
        <v>29814</v>
      </c>
      <c r="P30" s="32"/>
      <c r="Q30" s="5">
        <v>40059</v>
      </c>
      <c r="R30" s="5">
        <v>40059</v>
      </c>
      <c r="S30" s="5">
        <v>40059</v>
      </c>
      <c r="T30" s="5">
        <v>29814</v>
      </c>
      <c r="U30" s="5">
        <v>43922</v>
      </c>
      <c r="V30" s="32"/>
      <c r="W30" s="5">
        <v>40059</v>
      </c>
      <c r="X30" s="5">
        <v>40059</v>
      </c>
      <c r="Y30" s="5">
        <v>43922</v>
      </c>
      <c r="Z30" s="32"/>
      <c r="AA30" s="5">
        <v>40059</v>
      </c>
      <c r="AB30" s="5">
        <v>40059</v>
      </c>
      <c r="AC30" s="143">
        <v>43922</v>
      </c>
    </row>
    <row r="31" spans="1:29" s="29" customFormat="1" ht="30" x14ac:dyDescent="0.2">
      <c r="A31" s="30" t="s">
        <v>126</v>
      </c>
      <c r="B31" s="145" t="s">
        <v>166</v>
      </c>
      <c r="C31" s="31">
        <v>1100</v>
      </c>
      <c r="D31" s="5">
        <v>0</v>
      </c>
      <c r="E31" s="5">
        <v>0</v>
      </c>
      <c r="F31" s="5">
        <v>0</v>
      </c>
      <c r="G31" s="5">
        <v>0</v>
      </c>
      <c r="H31" s="32"/>
      <c r="I31" s="5">
        <v>0</v>
      </c>
      <c r="J31" s="5">
        <v>0</v>
      </c>
      <c r="K31" s="5">
        <v>0</v>
      </c>
      <c r="L31" s="5">
        <v>0</v>
      </c>
      <c r="M31" s="5">
        <v>0</v>
      </c>
      <c r="N31" s="5">
        <v>0</v>
      </c>
      <c r="O31" s="5">
        <v>0</v>
      </c>
      <c r="P31" s="32"/>
      <c r="Q31" s="5">
        <v>0</v>
      </c>
      <c r="R31" s="5">
        <v>0</v>
      </c>
      <c r="S31" s="5">
        <v>0</v>
      </c>
      <c r="T31" s="5">
        <v>0</v>
      </c>
      <c r="U31" s="5">
        <f>ROUNDUP(291771.05*0.03,0)</f>
        <v>8754</v>
      </c>
      <c r="V31" s="32"/>
      <c r="W31" s="5">
        <v>0</v>
      </c>
      <c r="X31" s="5">
        <v>0</v>
      </c>
      <c r="Y31" s="5">
        <v>0</v>
      </c>
      <c r="Z31" s="32"/>
      <c r="AA31" s="5">
        <v>0</v>
      </c>
      <c r="AB31" s="5">
        <v>0</v>
      </c>
      <c r="AC31" s="75">
        <v>0</v>
      </c>
    </row>
    <row r="32" spans="1:29" s="29" customFormat="1" ht="30" x14ac:dyDescent="0.2">
      <c r="A32" s="30" t="s">
        <v>126</v>
      </c>
      <c r="B32" s="145" t="s">
        <v>166</v>
      </c>
      <c r="C32" s="31">
        <v>1200</v>
      </c>
      <c r="D32" s="5">
        <v>0</v>
      </c>
      <c r="E32" s="5">
        <v>0</v>
      </c>
      <c r="F32" s="5">
        <v>0</v>
      </c>
      <c r="G32" s="5">
        <v>0</v>
      </c>
      <c r="H32" s="32"/>
      <c r="I32" s="5">
        <v>0</v>
      </c>
      <c r="J32" s="5">
        <v>0</v>
      </c>
      <c r="K32" s="5">
        <v>0</v>
      </c>
      <c r="L32" s="5">
        <v>0</v>
      </c>
      <c r="M32" s="5">
        <v>0</v>
      </c>
      <c r="N32" s="5">
        <v>0</v>
      </c>
      <c r="O32" s="5">
        <v>0</v>
      </c>
      <c r="P32" s="32"/>
      <c r="Q32" s="5">
        <v>0</v>
      </c>
      <c r="R32" s="5">
        <v>0</v>
      </c>
      <c r="S32" s="5">
        <v>0</v>
      </c>
      <c r="T32" s="5">
        <v>0</v>
      </c>
      <c r="U32" s="5">
        <f>ROUNDUP(119435.86*0.03,0)</f>
        <v>3584</v>
      </c>
      <c r="V32" s="32"/>
      <c r="W32" s="5">
        <v>0</v>
      </c>
      <c r="X32" s="5">
        <v>0</v>
      </c>
      <c r="Y32" s="5">
        <v>0</v>
      </c>
      <c r="Z32" s="32"/>
      <c r="AA32" s="5">
        <v>0</v>
      </c>
      <c r="AB32" s="5">
        <v>0</v>
      </c>
      <c r="AC32" s="75">
        <v>0</v>
      </c>
    </row>
    <row r="33" spans="1:29" s="29" customFormat="1" ht="30" x14ac:dyDescent="0.2">
      <c r="A33" s="30" t="s">
        <v>126</v>
      </c>
      <c r="B33" s="145" t="s">
        <v>166</v>
      </c>
      <c r="C33" s="31">
        <v>1300</v>
      </c>
      <c r="D33" s="5">
        <v>0</v>
      </c>
      <c r="E33" s="5">
        <v>0</v>
      </c>
      <c r="F33" s="5">
        <v>0</v>
      </c>
      <c r="G33" s="5">
        <v>0</v>
      </c>
      <c r="H33" s="32"/>
      <c r="I33" s="5">
        <v>0</v>
      </c>
      <c r="J33" s="5">
        <v>0</v>
      </c>
      <c r="K33" s="5">
        <v>0</v>
      </c>
      <c r="L33" s="5">
        <v>0</v>
      </c>
      <c r="M33" s="5">
        <v>0</v>
      </c>
      <c r="N33" s="5">
        <v>0</v>
      </c>
      <c r="O33" s="5">
        <v>0</v>
      </c>
      <c r="P33" s="32"/>
      <c r="Q33" s="5">
        <v>0</v>
      </c>
      <c r="R33" s="5">
        <v>0</v>
      </c>
      <c r="S33" s="5">
        <v>0</v>
      </c>
      <c r="T33" s="5">
        <v>0</v>
      </c>
      <c r="U33" s="5">
        <f>ROUNDUP(94112.99*0.03,0)</f>
        <v>2824</v>
      </c>
      <c r="V33" s="32"/>
      <c r="W33" s="5">
        <v>0</v>
      </c>
      <c r="X33" s="5">
        <v>0</v>
      </c>
      <c r="Y33" s="5">
        <v>0</v>
      </c>
      <c r="Z33" s="32"/>
      <c r="AA33" s="5">
        <v>0</v>
      </c>
      <c r="AB33" s="5">
        <v>0</v>
      </c>
      <c r="AC33" s="75">
        <v>0</v>
      </c>
    </row>
    <row r="34" spans="1:29" s="29" customFormat="1" ht="30" x14ac:dyDescent="0.2">
      <c r="A34" s="30" t="s">
        <v>126</v>
      </c>
      <c r="B34" s="145" t="s">
        <v>166</v>
      </c>
      <c r="C34" s="31">
        <v>1900</v>
      </c>
      <c r="D34" s="5">
        <v>0</v>
      </c>
      <c r="E34" s="5">
        <v>0</v>
      </c>
      <c r="F34" s="5">
        <v>0</v>
      </c>
      <c r="G34" s="5">
        <v>0</v>
      </c>
      <c r="H34" s="32"/>
      <c r="I34" s="5">
        <v>0</v>
      </c>
      <c r="J34" s="5">
        <v>0</v>
      </c>
      <c r="K34" s="5">
        <v>0</v>
      </c>
      <c r="L34" s="5">
        <v>0</v>
      </c>
      <c r="M34" s="5">
        <v>0</v>
      </c>
      <c r="N34" s="5">
        <v>0</v>
      </c>
      <c r="O34" s="5">
        <v>0</v>
      </c>
      <c r="P34" s="32"/>
      <c r="Q34" s="5">
        <v>0</v>
      </c>
      <c r="R34" s="5">
        <v>0</v>
      </c>
      <c r="S34" s="5">
        <v>0</v>
      </c>
      <c r="T34" s="5">
        <v>0</v>
      </c>
      <c r="U34" s="5">
        <f>ROUNDUP(34245.95*0.03,0)</f>
        <v>1028</v>
      </c>
      <c r="V34" s="32"/>
      <c r="W34" s="5">
        <v>0</v>
      </c>
      <c r="X34" s="5">
        <v>0</v>
      </c>
      <c r="Y34" s="5">
        <v>0</v>
      </c>
      <c r="Z34" s="32"/>
      <c r="AA34" s="5">
        <v>0</v>
      </c>
      <c r="AB34" s="5">
        <v>0</v>
      </c>
      <c r="AC34" s="75">
        <v>0</v>
      </c>
    </row>
    <row r="35" spans="1:29" s="29" customFormat="1" ht="15.75" x14ac:dyDescent="0.25">
      <c r="A35" s="35"/>
      <c r="B35" s="36" t="s">
        <v>49</v>
      </c>
      <c r="C35" s="37" t="s">
        <v>50</v>
      </c>
      <c r="D35" s="38">
        <f>SUM(D8:D34)</f>
        <v>111675</v>
      </c>
      <c r="E35" s="38">
        <f t="shared" ref="E35:G35" si="2">SUM(E8:E34)</f>
        <v>89725</v>
      </c>
      <c r="F35" s="38">
        <f t="shared" si="2"/>
        <v>64890</v>
      </c>
      <c r="G35" s="38">
        <f t="shared" si="2"/>
        <v>37623.71</v>
      </c>
      <c r="H35" s="38"/>
      <c r="I35" s="38">
        <f>SUM(I8:I34)</f>
        <v>725831</v>
      </c>
      <c r="J35" s="38">
        <f t="shared" ref="J35:O35" si="3">SUM(J8:J34)</f>
        <v>725831</v>
      </c>
      <c r="K35" s="38">
        <f t="shared" si="3"/>
        <v>751102</v>
      </c>
      <c r="L35" s="38">
        <f t="shared" si="3"/>
        <v>719643</v>
      </c>
      <c r="M35" s="38">
        <f t="shared" si="3"/>
        <v>719643</v>
      </c>
      <c r="N35" s="38">
        <f t="shared" si="3"/>
        <v>686834</v>
      </c>
      <c r="O35" s="38">
        <f t="shared" si="3"/>
        <v>686834</v>
      </c>
      <c r="P35" s="38"/>
      <c r="Q35" s="38">
        <f>SUM(Q8:Q34)</f>
        <v>728106</v>
      </c>
      <c r="R35" s="38">
        <f t="shared" ref="R35:U35" si="4">SUM(R8:R34)</f>
        <v>728106</v>
      </c>
      <c r="S35" s="38">
        <f t="shared" si="4"/>
        <v>771902</v>
      </c>
      <c r="T35" s="38">
        <f t="shared" si="4"/>
        <v>756575</v>
      </c>
      <c r="U35" s="38">
        <f t="shared" si="4"/>
        <v>917434</v>
      </c>
      <c r="V35" s="38"/>
      <c r="W35" s="38">
        <f>SUM(W8:W34)</f>
        <v>734931</v>
      </c>
      <c r="X35" s="38">
        <f t="shared" ref="X35:Y35" si="5">SUM(X8:X34)</f>
        <v>771902</v>
      </c>
      <c r="Y35" s="38">
        <f t="shared" si="5"/>
        <v>758870</v>
      </c>
      <c r="Z35" s="38"/>
      <c r="AA35" s="38">
        <f>SUM(AA8:AA34)</f>
        <v>723556</v>
      </c>
      <c r="AB35" s="38">
        <f t="shared" ref="AB35:AC35" si="6">SUM(AB8:AB34)</f>
        <v>749152</v>
      </c>
      <c r="AC35" s="141">
        <f t="shared" si="6"/>
        <v>734720</v>
      </c>
    </row>
    <row r="36" spans="1:29" s="29" customFormat="1" ht="159.75" customHeight="1" x14ac:dyDescent="0.2">
      <c r="A36" s="34" t="s">
        <v>51</v>
      </c>
      <c r="B36" s="3" t="s">
        <v>186</v>
      </c>
      <c r="C36" s="31">
        <v>2400</v>
      </c>
      <c r="D36" s="5">
        <v>0</v>
      </c>
      <c r="E36" s="5">
        <v>0</v>
      </c>
      <c r="F36" s="5">
        <v>0</v>
      </c>
      <c r="G36" s="5">
        <v>0</v>
      </c>
      <c r="H36" s="4"/>
      <c r="I36" s="5">
        <v>16582</v>
      </c>
      <c r="J36" s="5">
        <v>16582</v>
      </c>
      <c r="K36" s="5">
        <v>16582</v>
      </c>
      <c r="L36" s="5">
        <v>16582</v>
      </c>
      <c r="M36" s="5">
        <v>16582</v>
      </c>
      <c r="N36" s="5">
        <f>16582-381.85</f>
        <v>16200.15</v>
      </c>
      <c r="O36" s="5">
        <f>16582-381.85</f>
        <v>16200.15</v>
      </c>
      <c r="P36" s="4"/>
      <c r="Q36" s="5">
        <v>16582</v>
      </c>
      <c r="R36" s="5">
        <v>16582</v>
      </c>
      <c r="S36" s="5">
        <v>16582</v>
      </c>
      <c r="T36" s="5">
        <v>9450</v>
      </c>
      <c r="U36" s="5">
        <v>9450</v>
      </c>
      <c r="V36" s="4"/>
      <c r="W36" s="5">
        <v>16582</v>
      </c>
      <c r="X36" s="5">
        <v>16582</v>
      </c>
      <c r="Y36" s="5">
        <v>10150</v>
      </c>
      <c r="Z36" s="4"/>
      <c r="AA36" s="5">
        <v>16582</v>
      </c>
      <c r="AB36" s="5">
        <v>16582</v>
      </c>
      <c r="AC36" s="75">
        <v>10150</v>
      </c>
    </row>
    <row r="37" spans="1:29" s="29" customFormat="1" ht="143.25" customHeight="1" x14ac:dyDescent="0.2">
      <c r="A37" s="34" t="s">
        <v>51</v>
      </c>
      <c r="B37" s="3" t="s">
        <v>187</v>
      </c>
      <c r="C37" s="31">
        <v>2200</v>
      </c>
      <c r="D37" s="5">
        <v>0</v>
      </c>
      <c r="E37" s="5">
        <v>0</v>
      </c>
      <c r="F37" s="5">
        <v>0</v>
      </c>
      <c r="G37" s="5">
        <v>0</v>
      </c>
      <c r="H37" s="4"/>
      <c r="I37" s="5">
        <v>6840</v>
      </c>
      <c r="J37" s="5">
        <v>6840</v>
      </c>
      <c r="K37" s="5">
        <v>6840</v>
      </c>
      <c r="L37" s="5">
        <v>6840</v>
      </c>
      <c r="M37" s="5">
        <v>6840</v>
      </c>
      <c r="N37" s="5">
        <v>6840</v>
      </c>
      <c r="O37" s="5">
        <v>6840</v>
      </c>
      <c r="P37" s="4"/>
      <c r="Q37" s="5">
        <v>6840</v>
      </c>
      <c r="R37" s="5">
        <v>6840</v>
      </c>
      <c r="S37" s="5">
        <v>6840</v>
      </c>
      <c r="T37" s="5">
        <v>0</v>
      </c>
      <c r="U37" s="5">
        <v>6840</v>
      </c>
      <c r="V37" s="4"/>
      <c r="W37" s="5">
        <v>6840</v>
      </c>
      <c r="X37" s="5">
        <v>6840</v>
      </c>
      <c r="Y37" s="5">
        <v>6840</v>
      </c>
      <c r="Z37" s="4"/>
      <c r="AA37" s="5">
        <v>6840</v>
      </c>
      <c r="AB37" s="5">
        <v>6840</v>
      </c>
      <c r="AC37" s="75">
        <v>6840</v>
      </c>
    </row>
    <row r="38" spans="1:29" s="29" customFormat="1" ht="122.25" customHeight="1" x14ac:dyDescent="0.2">
      <c r="A38" s="30" t="s">
        <v>38</v>
      </c>
      <c r="B38" s="40" t="s">
        <v>133</v>
      </c>
      <c r="C38" s="31">
        <v>2900</v>
      </c>
      <c r="D38" s="5"/>
      <c r="E38" s="5"/>
      <c r="F38" s="5">
        <v>0</v>
      </c>
      <c r="G38" s="5">
        <v>0</v>
      </c>
      <c r="H38" s="4"/>
      <c r="I38" s="5"/>
      <c r="J38" s="5"/>
      <c r="K38" s="5"/>
      <c r="L38" s="5"/>
      <c r="M38" s="5">
        <v>0</v>
      </c>
      <c r="N38" s="5">
        <v>800</v>
      </c>
      <c r="O38" s="5">
        <v>800</v>
      </c>
      <c r="P38" s="4"/>
      <c r="Q38" s="5"/>
      <c r="R38" s="5"/>
      <c r="S38" s="5">
        <v>0</v>
      </c>
      <c r="T38" s="5">
        <v>800</v>
      </c>
      <c r="U38" s="5">
        <v>800</v>
      </c>
      <c r="V38" s="4"/>
      <c r="W38" s="5">
        <v>0</v>
      </c>
      <c r="X38" s="5">
        <v>0</v>
      </c>
      <c r="Y38" s="5">
        <v>0</v>
      </c>
      <c r="Z38" s="4"/>
      <c r="AA38" s="5">
        <v>0</v>
      </c>
      <c r="AB38" s="5">
        <v>0</v>
      </c>
      <c r="AC38" s="75">
        <v>0</v>
      </c>
    </row>
    <row r="39" spans="1:29" s="29" customFormat="1" ht="147.75" customHeight="1" x14ac:dyDescent="0.2">
      <c r="A39" s="34" t="s">
        <v>52</v>
      </c>
      <c r="B39" s="40" t="s">
        <v>53</v>
      </c>
      <c r="C39" s="31">
        <v>2900</v>
      </c>
      <c r="D39" s="5">
        <v>0</v>
      </c>
      <c r="E39" s="5">
        <v>0</v>
      </c>
      <c r="F39" s="5">
        <v>0</v>
      </c>
      <c r="G39" s="5">
        <v>0</v>
      </c>
      <c r="H39" s="4"/>
      <c r="I39" s="5">
        <v>5500</v>
      </c>
      <c r="J39" s="5">
        <v>5500</v>
      </c>
      <c r="K39" s="5">
        <v>5500</v>
      </c>
      <c r="L39" s="5">
        <v>5500</v>
      </c>
      <c r="M39" s="5">
        <v>5500</v>
      </c>
      <c r="N39" s="5">
        <v>5500</v>
      </c>
      <c r="O39" s="5">
        <v>5500</v>
      </c>
      <c r="P39" s="4"/>
      <c r="Q39" s="5">
        <v>5500</v>
      </c>
      <c r="R39" s="5">
        <v>5500</v>
      </c>
      <c r="S39" s="5">
        <v>5500</v>
      </c>
      <c r="T39" s="5">
        <v>0</v>
      </c>
      <c r="U39" s="5">
        <v>0</v>
      </c>
      <c r="V39" s="4"/>
      <c r="W39" s="5">
        <v>5500</v>
      </c>
      <c r="X39" s="5">
        <v>5500</v>
      </c>
      <c r="Y39" s="5">
        <v>5500</v>
      </c>
      <c r="Z39" s="4"/>
      <c r="AA39" s="5">
        <v>5500</v>
      </c>
      <c r="AB39" s="5">
        <v>5500</v>
      </c>
      <c r="AC39" s="75">
        <v>5500</v>
      </c>
    </row>
    <row r="40" spans="1:29" s="29" customFormat="1" ht="57.75" customHeight="1" x14ac:dyDescent="0.2">
      <c r="A40" s="34" t="s">
        <v>47</v>
      </c>
      <c r="B40" s="3" t="s">
        <v>134</v>
      </c>
      <c r="C40" s="31">
        <v>2400</v>
      </c>
      <c r="D40" s="5">
        <v>0</v>
      </c>
      <c r="E40" s="5">
        <v>0</v>
      </c>
      <c r="F40" s="5">
        <v>0</v>
      </c>
      <c r="G40" s="5">
        <v>0</v>
      </c>
      <c r="H40" s="4"/>
      <c r="I40" s="5">
        <v>41543</v>
      </c>
      <c r="J40" s="5">
        <v>41543</v>
      </c>
      <c r="K40" s="5">
        <v>41543</v>
      </c>
      <c r="L40" s="5">
        <v>41543</v>
      </c>
      <c r="M40" s="5">
        <v>41543</v>
      </c>
      <c r="N40" s="5">
        <v>41543</v>
      </c>
      <c r="O40" s="5">
        <v>41543</v>
      </c>
      <c r="P40" s="4"/>
      <c r="Q40" s="5">
        <v>41543</v>
      </c>
      <c r="R40" s="5">
        <v>41543</v>
      </c>
      <c r="S40" s="5">
        <v>41543</v>
      </c>
      <c r="T40" s="5">
        <v>41543</v>
      </c>
      <c r="U40" s="5">
        <v>43222</v>
      </c>
      <c r="V40" s="4"/>
      <c r="W40" s="5">
        <v>41543</v>
      </c>
      <c r="X40" s="5">
        <v>41543</v>
      </c>
      <c r="Y40" s="5">
        <v>44086</v>
      </c>
      <c r="Z40" s="4"/>
      <c r="AA40" s="5">
        <v>41543</v>
      </c>
      <c r="AB40" s="5">
        <v>41543</v>
      </c>
      <c r="AC40" s="75">
        <v>44086</v>
      </c>
    </row>
    <row r="41" spans="1:29" s="29" customFormat="1" ht="130.5" customHeight="1" x14ac:dyDescent="0.2">
      <c r="A41" s="34" t="s">
        <v>47</v>
      </c>
      <c r="B41" s="3" t="s">
        <v>54</v>
      </c>
      <c r="C41" s="39">
        <v>2100</v>
      </c>
      <c r="D41" s="5">
        <v>0</v>
      </c>
      <c r="E41" s="5">
        <v>0</v>
      </c>
      <c r="F41" s="5">
        <v>0</v>
      </c>
      <c r="G41" s="5">
        <v>0</v>
      </c>
      <c r="H41" s="4"/>
      <c r="I41" s="5">
        <v>19596</v>
      </c>
      <c r="J41" s="5">
        <v>19596</v>
      </c>
      <c r="K41" s="5">
        <v>19596</v>
      </c>
      <c r="L41" s="5">
        <v>19596</v>
      </c>
      <c r="M41" s="5">
        <v>19596</v>
      </c>
      <c r="N41" s="5">
        <v>19596</v>
      </c>
      <c r="O41" s="5">
        <v>19596</v>
      </c>
      <c r="P41" s="4"/>
      <c r="Q41" s="5">
        <v>19596</v>
      </c>
      <c r="R41" s="5">
        <v>19596</v>
      </c>
      <c r="S41" s="5">
        <v>19596</v>
      </c>
      <c r="T41" s="5">
        <v>19596</v>
      </c>
      <c r="U41" s="5">
        <v>21195</v>
      </c>
      <c r="V41" s="4"/>
      <c r="W41" s="5">
        <v>19596</v>
      </c>
      <c r="X41" s="5">
        <v>19596</v>
      </c>
      <c r="Y41" s="5">
        <v>21195</v>
      </c>
      <c r="Z41" s="4"/>
      <c r="AA41" s="5">
        <v>19596</v>
      </c>
      <c r="AB41" s="5">
        <v>19596</v>
      </c>
      <c r="AC41" s="143">
        <v>21195</v>
      </c>
    </row>
    <row r="42" spans="1:29" s="29" customFormat="1" ht="30" x14ac:dyDescent="0.2">
      <c r="A42" s="30" t="s">
        <v>126</v>
      </c>
      <c r="B42" s="145" t="s">
        <v>166</v>
      </c>
      <c r="C42" s="39">
        <v>2100</v>
      </c>
      <c r="D42" s="5">
        <v>0</v>
      </c>
      <c r="E42" s="5">
        <v>0</v>
      </c>
      <c r="F42" s="5">
        <v>0</v>
      </c>
      <c r="G42" s="5">
        <v>0</v>
      </c>
      <c r="H42" s="4"/>
      <c r="I42" s="5">
        <v>0</v>
      </c>
      <c r="J42" s="5">
        <v>0</v>
      </c>
      <c r="K42" s="5">
        <v>0</v>
      </c>
      <c r="L42" s="5">
        <v>0</v>
      </c>
      <c r="M42" s="5">
        <v>0</v>
      </c>
      <c r="N42" s="5">
        <v>0</v>
      </c>
      <c r="O42" s="5">
        <v>0</v>
      </c>
      <c r="P42" s="4"/>
      <c r="Q42" s="5">
        <v>0</v>
      </c>
      <c r="R42" s="5">
        <v>0</v>
      </c>
      <c r="S42" s="5">
        <v>0</v>
      </c>
      <c r="T42" s="5">
        <v>0</v>
      </c>
      <c r="U42" s="5">
        <f>ROUNDUP(17670.52*0.02,0)</f>
        <v>354</v>
      </c>
      <c r="V42" s="4"/>
      <c r="W42" s="5">
        <v>0</v>
      </c>
      <c r="X42" s="5">
        <v>0</v>
      </c>
      <c r="Y42" s="5">
        <v>0</v>
      </c>
      <c r="Z42" s="4"/>
      <c r="AA42" s="5">
        <v>0</v>
      </c>
      <c r="AB42" s="5">
        <v>0</v>
      </c>
      <c r="AC42" s="75">
        <v>0</v>
      </c>
    </row>
    <row r="43" spans="1:29" s="29" customFormat="1" ht="30" x14ac:dyDescent="0.2">
      <c r="A43" s="30" t="s">
        <v>126</v>
      </c>
      <c r="B43" s="145" t="s">
        <v>166</v>
      </c>
      <c r="C43" s="39">
        <v>2200</v>
      </c>
      <c r="D43" s="5">
        <v>0</v>
      </c>
      <c r="E43" s="5">
        <v>0</v>
      </c>
      <c r="F43" s="5">
        <v>0</v>
      </c>
      <c r="G43" s="5">
        <v>0</v>
      </c>
      <c r="H43" s="4"/>
      <c r="I43" s="5">
        <v>0</v>
      </c>
      <c r="J43" s="5">
        <v>0</v>
      </c>
      <c r="K43" s="5">
        <v>0</v>
      </c>
      <c r="L43" s="5">
        <v>0</v>
      </c>
      <c r="M43" s="5">
        <v>0</v>
      </c>
      <c r="N43" s="5">
        <v>0</v>
      </c>
      <c r="O43" s="5">
        <v>0</v>
      </c>
      <c r="P43" s="4"/>
      <c r="Q43" s="5">
        <v>0</v>
      </c>
      <c r="R43" s="5">
        <v>0</v>
      </c>
      <c r="S43" s="5">
        <v>0</v>
      </c>
      <c r="T43" s="5">
        <v>0</v>
      </c>
      <c r="U43" s="5">
        <f>ROUNDUP(174.37*0.02,0)</f>
        <v>4</v>
      </c>
      <c r="V43" s="4"/>
      <c r="W43" s="5">
        <v>0</v>
      </c>
      <c r="X43" s="5">
        <v>0</v>
      </c>
      <c r="Y43" s="5">
        <v>0</v>
      </c>
      <c r="Z43" s="4"/>
      <c r="AA43" s="5">
        <v>0</v>
      </c>
      <c r="AB43" s="5">
        <v>0</v>
      </c>
      <c r="AC43" s="75">
        <v>0</v>
      </c>
    </row>
    <row r="44" spans="1:29" s="29" customFormat="1" ht="30" x14ac:dyDescent="0.2">
      <c r="A44" s="30" t="s">
        <v>126</v>
      </c>
      <c r="B44" s="145" t="s">
        <v>166</v>
      </c>
      <c r="C44" s="39">
        <v>2400</v>
      </c>
      <c r="D44" s="5">
        <v>0</v>
      </c>
      <c r="E44" s="5">
        <v>0</v>
      </c>
      <c r="F44" s="5">
        <v>0</v>
      </c>
      <c r="G44" s="5">
        <v>0</v>
      </c>
      <c r="H44" s="4"/>
      <c r="I44" s="5">
        <v>0</v>
      </c>
      <c r="J44" s="5">
        <v>0</v>
      </c>
      <c r="K44" s="5">
        <v>0</v>
      </c>
      <c r="L44" s="5">
        <v>0</v>
      </c>
      <c r="M44" s="5">
        <v>0</v>
      </c>
      <c r="N44" s="5">
        <v>0</v>
      </c>
      <c r="O44" s="5">
        <v>0</v>
      </c>
      <c r="P44" s="4"/>
      <c r="Q44" s="5">
        <v>0</v>
      </c>
      <c r="R44" s="5">
        <v>0</v>
      </c>
      <c r="S44" s="5">
        <v>0</v>
      </c>
      <c r="T44" s="5">
        <v>0</v>
      </c>
      <c r="U44" s="5">
        <f>ROUNDUP(44823.69*0.02,0)</f>
        <v>897</v>
      </c>
      <c r="V44" s="4"/>
      <c r="W44" s="5">
        <v>0</v>
      </c>
      <c r="X44" s="5">
        <v>0</v>
      </c>
      <c r="Y44" s="5">
        <v>0</v>
      </c>
      <c r="Z44" s="4"/>
      <c r="AA44" s="5">
        <v>0</v>
      </c>
      <c r="AB44" s="5">
        <v>0</v>
      </c>
      <c r="AC44" s="75">
        <v>0</v>
      </c>
    </row>
    <row r="45" spans="1:29" s="29" customFormat="1" ht="30" x14ac:dyDescent="0.2">
      <c r="A45" s="30" t="s">
        <v>126</v>
      </c>
      <c r="B45" s="145" t="s">
        <v>166</v>
      </c>
      <c r="C45" s="39">
        <v>2900</v>
      </c>
      <c r="D45" s="5">
        <v>0</v>
      </c>
      <c r="E45" s="5">
        <v>0</v>
      </c>
      <c r="F45" s="5">
        <v>0</v>
      </c>
      <c r="G45" s="5">
        <v>0</v>
      </c>
      <c r="H45" s="4"/>
      <c r="I45" s="5">
        <v>0</v>
      </c>
      <c r="J45" s="5">
        <v>0</v>
      </c>
      <c r="K45" s="5">
        <v>0</v>
      </c>
      <c r="L45" s="5">
        <v>0</v>
      </c>
      <c r="M45" s="5">
        <v>0</v>
      </c>
      <c r="N45" s="5">
        <v>0</v>
      </c>
      <c r="O45" s="5">
        <v>0</v>
      </c>
      <c r="P45" s="4"/>
      <c r="Q45" s="5">
        <v>0</v>
      </c>
      <c r="R45" s="5">
        <v>0</v>
      </c>
      <c r="S45" s="5">
        <v>0</v>
      </c>
      <c r="T45" s="5">
        <v>0</v>
      </c>
      <c r="U45" s="5">
        <f>ROUNDUP(6726.28*0.02,0)</f>
        <v>135</v>
      </c>
      <c r="V45" s="4"/>
      <c r="W45" s="5">
        <v>0</v>
      </c>
      <c r="X45" s="5">
        <v>0</v>
      </c>
      <c r="Y45" s="5">
        <v>0</v>
      </c>
      <c r="Z45" s="4"/>
      <c r="AA45" s="5">
        <v>0</v>
      </c>
      <c r="AB45" s="5">
        <v>0</v>
      </c>
      <c r="AC45" s="75">
        <v>0</v>
      </c>
    </row>
    <row r="46" spans="1:29" s="29" customFormat="1" ht="15.75" x14ac:dyDescent="0.25">
      <c r="A46" s="41"/>
      <c r="B46" s="36" t="s">
        <v>55</v>
      </c>
      <c r="C46" s="37" t="s">
        <v>56</v>
      </c>
      <c r="D46" s="38">
        <f>SUM(D36:D45)</f>
        <v>0</v>
      </c>
      <c r="E46" s="38">
        <f t="shared" ref="E46:AC46" si="7">SUM(E36:E45)</f>
        <v>0</v>
      </c>
      <c r="F46" s="38">
        <f t="shared" si="7"/>
        <v>0</v>
      </c>
      <c r="G46" s="38">
        <f t="shared" si="7"/>
        <v>0</v>
      </c>
      <c r="H46" s="38"/>
      <c r="I46" s="38">
        <f t="shared" si="7"/>
        <v>90061</v>
      </c>
      <c r="J46" s="38">
        <f t="shared" si="7"/>
        <v>90061</v>
      </c>
      <c r="K46" s="38">
        <f t="shared" si="7"/>
        <v>90061</v>
      </c>
      <c r="L46" s="38">
        <f t="shared" si="7"/>
        <v>90061</v>
      </c>
      <c r="M46" s="38">
        <f t="shared" si="7"/>
        <v>90061</v>
      </c>
      <c r="N46" s="38">
        <f t="shared" si="7"/>
        <v>90479.15</v>
      </c>
      <c r="O46" s="38">
        <f t="shared" si="7"/>
        <v>90479.15</v>
      </c>
      <c r="P46" s="38"/>
      <c r="Q46" s="38">
        <f t="shared" si="7"/>
        <v>90061</v>
      </c>
      <c r="R46" s="38">
        <f t="shared" si="7"/>
        <v>90061</v>
      </c>
      <c r="S46" s="38">
        <f t="shared" si="7"/>
        <v>90061</v>
      </c>
      <c r="T46" s="38">
        <f t="shared" si="7"/>
        <v>71389</v>
      </c>
      <c r="U46" s="38">
        <f t="shared" si="7"/>
        <v>82897</v>
      </c>
      <c r="V46" s="38"/>
      <c r="W46" s="38">
        <f t="shared" si="7"/>
        <v>90061</v>
      </c>
      <c r="X46" s="38">
        <f t="shared" si="7"/>
        <v>90061</v>
      </c>
      <c r="Y46" s="38">
        <f t="shared" si="7"/>
        <v>87771</v>
      </c>
      <c r="Z46" s="38"/>
      <c r="AA46" s="38">
        <f t="shared" si="7"/>
        <v>90061</v>
      </c>
      <c r="AB46" s="38">
        <f t="shared" si="7"/>
        <v>90061</v>
      </c>
      <c r="AC46" s="141">
        <f t="shared" si="7"/>
        <v>87771</v>
      </c>
    </row>
    <row r="47" spans="1:29" s="29" customFormat="1" ht="45" x14ac:dyDescent="0.2">
      <c r="A47" s="30" t="s">
        <v>36</v>
      </c>
      <c r="B47" s="40" t="s">
        <v>57</v>
      </c>
      <c r="C47" s="39" t="s">
        <v>58</v>
      </c>
      <c r="D47" s="42">
        <v>5605</v>
      </c>
      <c r="E47" s="73">
        <v>5134</v>
      </c>
      <c r="F47" s="5">
        <f>ROUNDUP(F8*0.1684,0)</f>
        <v>3273</v>
      </c>
      <c r="G47" s="5">
        <v>1549.83</v>
      </c>
      <c r="H47" s="32"/>
      <c r="I47" s="43">
        <v>15708</v>
      </c>
      <c r="J47" s="43">
        <v>15708</v>
      </c>
      <c r="K47" s="5">
        <f>ROUNDUP(K8*0.1899,0)</f>
        <v>17713</v>
      </c>
      <c r="L47" s="5">
        <f>ROUNDUP((L8+L11)*0.1874,0)</f>
        <v>20867</v>
      </c>
      <c r="M47" s="5">
        <f>ROUNDUP((M8+M11)*0.1874,0)</f>
        <v>20867</v>
      </c>
      <c r="N47" s="5">
        <f>ROUNDUP((N8+N11)*0.1874,0)</f>
        <v>15751</v>
      </c>
      <c r="O47" s="5">
        <f>ROUNDUP((O8+O11)*0.1874,0)</f>
        <v>15751</v>
      </c>
      <c r="P47" s="32"/>
      <c r="Q47" s="43">
        <v>16091</v>
      </c>
      <c r="R47" s="43">
        <v>16091</v>
      </c>
      <c r="S47" s="5">
        <f>ROUNDUP(S8*0.1899,0)</f>
        <v>17281</v>
      </c>
      <c r="T47" s="5">
        <v>16216</v>
      </c>
      <c r="U47" s="5">
        <f>ROUNDUP((U8+U9+U11)*0.2079,0)</f>
        <v>20657</v>
      </c>
      <c r="V47" s="32"/>
      <c r="W47" s="43">
        <v>17240</v>
      </c>
      <c r="X47" s="5">
        <f>ROUNDUP(X8*0.1899,0)</f>
        <v>17281</v>
      </c>
      <c r="Y47" s="5">
        <f>ROUNDUP((Y8+Y9+Y11)*0.2079,0)</f>
        <v>20084</v>
      </c>
      <c r="Z47" s="32"/>
      <c r="AA47" s="43">
        <v>15325</v>
      </c>
      <c r="AB47" s="5">
        <f>ROUNDUP(AB8*0.1899,0)</f>
        <v>12961</v>
      </c>
      <c r="AC47" s="143">
        <f>ROUNDUP((AC8+AC9+AC11)*0.2079,0)</f>
        <v>15063</v>
      </c>
    </row>
    <row r="48" spans="1:29" s="29" customFormat="1" ht="45" x14ac:dyDescent="0.2">
      <c r="A48" s="30" t="s">
        <v>37</v>
      </c>
      <c r="B48" s="40" t="s">
        <v>174</v>
      </c>
      <c r="C48" s="39" t="s">
        <v>58</v>
      </c>
      <c r="D48" s="42">
        <v>13026</v>
      </c>
      <c r="E48" s="73">
        <v>10148</v>
      </c>
      <c r="F48" s="5">
        <f>ROUNDUP(F12*0.1684,0)</f>
        <v>7356</v>
      </c>
      <c r="G48" s="5">
        <v>5267.9</v>
      </c>
      <c r="H48" s="32"/>
      <c r="I48" s="43">
        <v>6896</v>
      </c>
      <c r="J48" s="43">
        <v>6896</v>
      </c>
      <c r="K48" s="5">
        <f>ROUNDUP(K12*0.1899,0)</f>
        <v>3704</v>
      </c>
      <c r="L48" s="5">
        <f>ROUNDUP(L12*0.1874,0)</f>
        <v>3655</v>
      </c>
      <c r="M48" s="5">
        <f>ROUNDUP(M12*0.1874,0)</f>
        <v>3655</v>
      </c>
      <c r="N48" s="5">
        <f>ROUNDUP((N12+N14)*0.1874,0)</f>
        <v>14788</v>
      </c>
      <c r="O48" s="5">
        <f>ROUNDUP((O12+O14)*0.1874,0)</f>
        <v>14788</v>
      </c>
      <c r="P48" s="32"/>
      <c r="Q48" s="43">
        <v>6896</v>
      </c>
      <c r="R48" s="43">
        <v>6896</v>
      </c>
      <c r="S48" s="5">
        <f>ROUNDUP(S12*0.1899,0)</f>
        <v>3704</v>
      </c>
      <c r="T48" s="5">
        <v>4054</v>
      </c>
      <c r="U48" s="5">
        <f>ROUNDUP((U12+U13+U14)*0.2079,0)</f>
        <v>6886</v>
      </c>
      <c r="V48" s="32"/>
      <c r="W48" s="43">
        <v>6896</v>
      </c>
      <c r="X48" s="5">
        <f>ROUNDUP(X12*0.1899,0)</f>
        <v>3704</v>
      </c>
      <c r="Y48" s="5">
        <f>ROUNDUP((Y12+Y13+Y14)*0.2079,0)</f>
        <v>4304</v>
      </c>
      <c r="Z48" s="32"/>
      <c r="AA48" s="43">
        <v>6896</v>
      </c>
      <c r="AB48" s="5">
        <f>ROUNDUP(AB12*0.1899,0)</f>
        <v>3704</v>
      </c>
      <c r="AC48" s="143">
        <f>ROUNDUP((AC12+AC13+AC14)*0.2079,0)</f>
        <v>4304</v>
      </c>
    </row>
    <row r="49" spans="1:29" s="29" customFormat="1" ht="30" x14ac:dyDescent="0.2">
      <c r="A49" s="30" t="s">
        <v>38</v>
      </c>
      <c r="B49" s="40" t="s">
        <v>59</v>
      </c>
      <c r="C49" s="39" t="s">
        <v>58</v>
      </c>
      <c r="D49" s="42">
        <v>0</v>
      </c>
      <c r="E49" s="73">
        <v>0</v>
      </c>
      <c r="F49" s="73">
        <v>0</v>
      </c>
      <c r="G49" s="73">
        <v>0</v>
      </c>
      <c r="H49" s="32"/>
      <c r="I49" s="43">
        <v>9458</v>
      </c>
      <c r="J49" s="43">
        <v>9458</v>
      </c>
      <c r="K49" s="5">
        <f>ROUNDUP(K15*0.1899,0)</f>
        <v>9332</v>
      </c>
      <c r="L49" s="5">
        <f t="shared" ref="L49:N49" si="8">ROUNDUP(L15*0.1874,0)</f>
        <v>9209</v>
      </c>
      <c r="M49" s="5">
        <f t="shared" si="8"/>
        <v>9209</v>
      </c>
      <c r="N49" s="5">
        <f t="shared" si="8"/>
        <v>1097</v>
      </c>
      <c r="O49" s="5">
        <f t="shared" ref="O49" si="9">ROUNDUP(O15*0.1874,0)</f>
        <v>1097</v>
      </c>
      <c r="P49" s="32"/>
      <c r="Q49" s="43">
        <v>9458</v>
      </c>
      <c r="R49" s="43">
        <v>9458</v>
      </c>
      <c r="S49" s="5">
        <f>ROUNDUP(S15*0.1899,0)</f>
        <v>9332</v>
      </c>
      <c r="T49" s="5">
        <v>10216</v>
      </c>
      <c r="U49" s="5">
        <f>ROUNDUP(U15*0.2079,0)</f>
        <v>16010</v>
      </c>
      <c r="V49" s="32"/>
      <c r="W49" s="43">
        <v>9458</v>
      </c>
      <c r="X49" s="5">
        <f>ROUNDUP(X15*0.1899,0)</f>
        <v>9332</v>
      </c>
      <c r="Y49" s="5">
        <f>ROUNDUP(Y15*0.2079,0)</f>
        <v>10845</v>
      </c>
      <c r="Z49" s="32"/>
      <c r="AA49" s="43">
        <v>9458</v>
      </c>
      <c r="AB49" s="5">
        <f>ROUNDUP(AB15*0.1899,0)</f>
        <v>9332</v>
      </c>
      <c r="AC49" s="143">
        <f>ROUNDUP(AC15*0.2079,0)</f>
        <v>10845</v>
      </c>
    </row>
    <row r="50" spans="1:29" s="29" customFormat="1" ht="36.75" customHeight="1" x14ac:dyDescent="0.2">
      <c r="A50" s="30" t="s">
        <v>38</v>
      </c>
      <c r="B50" s="40" t="s">
        <v>60</v>
      </c>
      <c r="C50" s="39" t="s">
        <v>58</v>
      </c>
      <c r="D50" s="42">
        <v>0</v>
      </c>
      <c r="E50" s="73">
        <v>0</v>
      </c>
      <c r="F50" s="73">
        <v>0</v>
      </c>
      <c r="G50" s="73">
        <v>0</v>
      </c>
      <c r="H50" s="32"/>
      <c r="I50" s="43">
        <v>9633</v>
      </c>
      <c r="J50" s="43">
        <v>9633</v>
      </c>
      <c r="K50" s="5">
        <f>ROUNDUP(K16*0.1899,0)</f>
        <v>0</v>
      </c>
      <c r="L50" s="5">
        <f>ROUNDUP((L16+L17+L18)*0.1874,0)</f>
        <v>1463</v>
      </c>
      <c r="M50" s="5">
        <f>ROUNDUP((M16+M17+M18)*0.1874,0)</f>
        <v>1463</v>
      </c>
      <c r="N50" s="5">
        <f>ROUNDUP((N16+N17+N18)*0.1874,0)</f>
        <v>6737</v>
      </c>
      <c r="O50" s="5">
        <f>ROUNDUP((O16+O17+O18)*0.1874,0)</f>
        <v>6737</v>
      </c>
      <c r="P50" s="32"/>
      <c r="Q50" s="43">
        <v>9633</v>
      </c>
      <c r="R50" s="43">
        <v>9633</v>
      </c>
      <c r="S50" s="5">
        <f>ROUNDUP(S16*0.1899,0)</f>
        <v>10863</v>
      </c>
      <c r="T50" s="5">
        <f>ROUNDUP((T16+T17+T18)*0.1899,0)</f>
        <v>10380</v>
      </c>
      <c r="U50" s="5">
        <f>ROUNDUP((U16+U17+U18)*0.2079,0)</f>
        <v>14891</v>
      </c>
      <c r="V50" s="32"/>
      <c r="W50" s="43">
        <v>9633</v>
      </c>
      <c r="X50" s="5">
        <f>ROUNDUP(X16*0.1899,0)</f>
        <v>10863</v>
      </c>
      <c r="Y50" s="5">
        <f>ROUNDUP((Y16+Y17+Y18)*0.2079,0)</f>
        <v>12624</v>
      </c>
      <c r="Z50" s="32"/>
      <c r="AA50" s="43">
        <v>9633</v>
      </c>
      <c r="AB50" s="5">
        <f>ROUNDUP(AB16*0.1899,0)</f>
        <v>10863</v>
      </c>
      <c r="AC50" s="143">
        <f>ROUNDUP((AC16+AC17+AC18)*0.2079,0)</f>
        <v>12624</v>
      </c>
    </row>
    <row r="51" spans="1:29" s="29" customFormat="1" ht="36" customHeight="1" x14ac:dyDescent="0.2">
      <c r="A51" s="30" t="s">
        <v>38</v>
      </c>
      <c r="B51" s="40" t="s">
        <v>61</v>
      </c>
      <c r="C51" s="39" t="s">
        <v>58</v>
      </c>
      <c r="D51" s="42">
        <v>0</v>
      </c>
      <c r="E51" s="73">
        <v>299</v>
      </c>
      <c r="F51" s="73">
        <v>299</v>
      </c>
      <c r="G51" s="73">
        <v>306.77</v>
      </c>
      <c r="H51" s="32"/>
      <c r="I51" s="43">
        <v>1674</v>
      </c>
      <c r="J51" s="43">
        <v>1674</v>
      </c>
      <c r="K51" s="5">
        <f>ROUNDUP(K19*0.1899,0)</f>
        <v>1888</v>
      </c>
      <c r="L51" s="5">
        <f>ROUNDUP(L19*0.1874,0)</f>
        <v>3141</v>
      </c>
      <c r="M51" s="5">
        <f>ROUNDUP(M19*0.1874,0)</f>
        <v>3141</v>
      </c>
      <c r="N51" s="5">
        <f>ROUNDUP(N19*0.1874,0)</f>
        <v>3832</v>
      </c>
      <c r="O51" s="5">
        <v>3832</v>
      </c>
      <c r="P51" s="32"/>
      <c r="Q51" s="43">
        <v>1674</v>
      </c>
      <c r="R51" s="43">
        <v>1674</v>
      </c>
      <c r="S51" s="5">
        <f>ROUNDUP(S19*0.1899,0)</f>
        <v>1888</v>
      </c>
      <c r="T51" s="5">
        <f>ROUNDUP(T19*0.1899,0)</f>
        <v>2158</v>
      </c>
      <c r="U51" s="5">
        <f>ROUNDUP((U19+U20)*0.2079,0)</f>
        <v>2129</v>
      </c>
      <c r="V51" s="32"/>
      <c r="W51" s="43">
        <v>1674</v>
      </c>
      <c r="X51" s="5">
        <f>ROUNDUP(X19*0.1899,0)</f>
        <v>1888</v>
      </c>
      <c r="Y51" s="5">
        <f>ROUNDUP((Y19+Y20)*0.2079,0)</f>
        <v>1863</v>
      </c>
      <c r="Z51" s="32"/>
      <c r="AA51" s="43">
        <v>1674</v>
      </c>
      <c r="AB51" s="5">
        <f>ROUNDUP(AB19*0.1899,0)</f>
        <v>1888</v>
      </c>
      <c r="AC51" s="143">
        <f>ROUNDUP((AC19+AC20)*0.2079,0)</f>
        <v>1863</v>
      </c>
    </row>
    <row r="52" spans="1:29" s="29" customFormat="1" ht="34.5" customHeight="1" x14ac:dyDescent="0.2">
      <c r="A52" s="30" t="s">
        <v>38</v>
      </c>
      <c r="B52" s="40" t="s">
        <v>62</v>
      </c>
      <c r="C52" s="39" t="s">
        <v>58</v>
      </c>
      <c r="D52" s="42">
        <v>0</v>
      </c>
      <c r="E52" s="42">
        <v>0</v>
      </c>
      <c r="F52" s="73">
        <v>0</v>
      </c>
      <c r="G52" s="73">
        <v>0</v>
      </c>
      <c r="H52" s="32"/>
      <c r="I52" s="43">
        <v>7663</v>
      </c>
      <c r="J52" s="43">
        <v>7663</v>
      </c>
      <c r="K52" s="5">
        <f>ROUNDUP(K21*0.1899,0)</f>
        <v>8641</v>
      </c>
      <c r="L52" s="5">
        <f t="shared" ref="L52:N52" si="10">ROUNDUP(L21*0.1874,0)</f>
        <v>8527</v>
      </c>
      <c r="M52" s="5">
        <f t="shared" si="10"/>
        <v>8527</v>
      </c>
      <c r="N52" s="5">
        <f t="shared" si="10"/>
        <v>2437</v>
      </c>
      <c r="O52" s="5">
        <f t="shared" ref="O52" si="11">ROUNDUP(O21*0.1874,0)</f>
        <v>2437</v>
      </c>
      <c r="P52" s="32"/>
      <c r="Q52" s="43">
        <v>7663</v>
      </c>
      <c r="R52" s="43">
        <v>7663</v>
      </c>
      <c r="S52" s="5">
        <f>ROUNDUP(S21*0.1899,0)</f>
        <v>2161</v>
      </c>
      <c r="T52" s="5">
        <v>0</v>
      </c>
      <c r="U52" s="5">
        <f>ROUNDUP(U21*0.2079,0)</f>
        <v>2870</v>
      </c>
      <c r="V52" s="32"/>
      <c r="W52" s="43">
        <v>7663</v>
      </c>
      <c r="X52" s="5">
        <f>ROUNDUP(X21*0.1899,0)</f>
        <v>2161</v>
      </c>
      <c r="Y52" s="5">
        <f>ROUNDUP(Y21*0.2079,0)</f>
        <v>2511</v>
      </c>
      <c r="Z52" s="32"/>
      <c r="AA52" s="43">
        <v>7663</v>
      </c>
      <c r="AB52" s="5">
        <f>ROUNDUP(AB21*0.1899,0)</f>
        <v>2161</v>
      </c>
      <c r="AC52" s="143">
        <f>ROUNDUP(AC21*0.2079,0)</f>
        <v>2511</v>
      </c>
    </row>
    <row r="53" spans="1:29" s="29" customFormat="1" ht="36" customHeight="1" x14ac:dyDescent="0.2">
      <c r="A53" s="33" t="s">
        <v>39</v>
      </c>
      <c r="B53" s="40" t="s">
        <v>63</v>
      </c>
      <c r="C53" s="39" t="s">
        <v>58</v>
      </c>
      <c r="D53" s="42">
        <v>715</v>
      </c>
      <c r="E53" s="42">
        <v>715</v>
      </c>
      <c r="F53" s="73">
        <v>0</v>
      </c>
      <c r="G53" s="73">
        <v>0</v>
      </c>
      <c r="H53" s="32"/>
      <c r="I53" s="43">
        <v>2860</v>
      </c>
      <c r="J53" s="43">
        <v>2860</v>
      </c>
      <c r="K53" s="5">
        <v>3441</v>
      </c>
      <c r="L53" s="5">
        <v>3100</v>
      </c>
      <c r="M53" s="5">
        <v>3100</v>
      </c>
      <c r="N53" s="5">
        <v>3100</v>
      </c>
      <c r="O53" s="5">
        <v>3100</v>
      </c>
      <c r="P53" s="32"/>
      <c r="Q53" s="43">
        <v>2860</v>
      </c>
      <c r="R53" s="43">
        <v>2860</v>
      </c>
      <c r="S53" s="5">
        <v>3441</v>
      </c>
      <c r="T53" s="5">
        <v>3000</v>
      </c>
      <c r="U53" s="5">
        <v>3000</v>
      </c>
      <c r="V53" s="32"/>
      <c r="W53" s="43">
        <v>2860</v>
      </c>
      <c r="X53" s="5">
        <v>3441</v>
      </c>
      <c r="Y53" s="5">
        <v>3441</v>
      </c>
      <c r="Z53" s="32"/>
      <c r="AA53" s="43">
        <v>2860</v>
      </c>
      <c r="AB53" s="5">
        <v>3441</v>
      </c>
      <c r="AC53" s="75">
        <v>3441</v>
      </c>
    </row>
    <row r="54" spans="1:29" s="29" customFormat="1" ht="81.75" customHeight="1" x14ac:dyDescent="0.2">
      <c r="A54" s="33" t="s">
        <v>102</v>
      </c>
      <c r="B54" s="40" t="s">
        <v>101</v>
      </c>
      <c r="C54" s="39" t="s">
        <v>58</v>
      </c>
      <c r="D54" s="42">
        <v>0</v>
      </c>
      <c r="E54" s="42">
        <v>0</v>
      </c>
      <c r="F54" s="73">
        <v>0</v>
      </c>
      <c r="G54" s="73">
        <v>0</v>
      </c>
      <c r="H54" s="32"/>
      <c r="I54" s="43">
        <v>0</v>
      </c>
      <c r="J54" s="43">
        <v>0</v>
      </c>
      <c r="K54" s="5">
        <v>42038</v>
      </c>
      <c r="L54" s="5">
        <v>36794</v>
      </c>
      <c r="M54" s="5">
        <v>36794</v>
      </c>
      <c r="N54" s="5">
        <v>36794</v>
      </c>
      <c r="O54" s="5">
        <v>36794</v>
      </c>
      <c r="P54" s="32"/>
      <c r="Q54" s="43">
        <v>0</v>
      </c>
      <c r="R54" s="43">
        <v>0</v>
      </c>
      <c r="S54" s="5">
        <v>42038</v>
      </c>
      <c r="T54" s="5">
        <v>37307</v>
      </c>
      <c r="U54" s="5">
        <f>19420+19000</f>
        <v>38420</v>
      </c>
      <c r="V54" s="32"/>
      <c r="W54" s="43">
        <v>0</v>
      </c>
      <c r="X54" s="5">
        <v>42038</v>
      </c>
      <c r="Y54" s="5">
        <f>19420+19000</f>
        <v>38420</v>
      </c>
      <c r="Z54" s="32"/>
      <c r="AA54" s="43">
        <v>0</v>
      </c>
      <c r="AB54" s="5">
        <v>42038</v>
      </c>
      <c r="AC54" s="143">
        <f>19420+19000</f>
        <v>38420</v>
      </c>
    </row>
    <row r="55" spans="1:29" s="29" customFormat="1" ht="30" x14ac:dyDescent="0.2">
      <c r="A55" s="30" t="s">
        <v>47</v>
      </c>
      <c r="B55" s="40" t="s">
        <v>64</v>
      </c>
      <c r="C55" s="39" t="s">
        <v>58</v>
      </c>
      <c r="D55" s="42">
        <v>0</v>
      </c>
      <c r="E55" s="42">
        <v>0</v>
      </c>
      <c r="F55" s="73">
        <v>0</v>
      </c>
      <c r="G55" s="73">
        <v>0</v>
      </c>
      <c r="H55" s="32"/>
      <c r="I55" s="43">
        <v>33340</v>
      </c>
      <c r="J55" s="43">
        <v>33340</v>
      </c>
      <c r="K55" s="5">
        <v>37004</v>
      </c>
      <c r="L55" s="5">
        <v>36587</v>
      </c>
      <c r="M55" s="5">
        <v>36587</v>
      </c>
      <c r="N55" s="5">
        <f>11393+22316+747</f>
        <v>34456</v>
      </c>
      <c r="O55" s="5">
        <f>11393+22316+747</f>
        <v>34456</v>
      </c>
      <c r="P55" s="32"/>
      <c r="Q55" s="43">
        <v>33340</v>
      </c>
      <c r="R55" s="43">
        <v>33340</v>
      </c>
      <c r="S55" s="5">
        <v>37004</v>
      </c>
      <c r="T55" s="5">
        <v>33877</v>
      </c>
      <c r="U55" s="5">
        <f>18624+19000</f>
        <v>37624</v>
      </c>
      <c r="V55" s="32"/>
      <c r="W55" s="43">
        <v>33340</v>
      </c>
      <c r="X55" s="5">
        <v>37004</v>
      </c>
      <c r="Y55" s="5">
        <f>18624+19000</f>
        <v>37624</v>
      </c>
      <c r="Z55" s="32"/>
      <c r="AA55" s="43">
        <v>33340</v>
      </c>
      <c r="AB55" s="5">
        <v>37004</v>
      </c>
      <c r="AC55" s="143">
        <f>18624+19000</f>
        <v>37624</v>
      </c>
    </row>
    <row r="56" spans="1:29" s="29" customFormat="1" ht="37.5" customHeight="1" x14ac:dyDescent="0.2">
      <c r="A56" s="30" t="s">
        <v>47</v>
      </c>
      <c r="B56" s="40" t="s">
        <v>65</v>
      </c>
      <c r="C56" s="39" t="s">
        <v>58</v>
      </c>
      <c r="D56" s="42">
        <v>0</v>
      </c>
      <c r="E56" s="42">
        <v>0</v>
      </c>
      <c r="F56" s="42">
        <v>0</v>
      </c>
      <c r="G56" s="42">
        <v>0</v>
      </c>
      <c r="H56" s="32"/>
      <c r="I56" s="43">
        <v>20107</v>
      </c>
      <c r="J56" s="43">
        <v>20107</v>
      </c>
      <c r="K56" s="5">
        <v>22319</v>
      </c>
      <c r="L56" s="5">
        <v>22067</v>
      </c>
      <c r="M56" s="5">
        <v>22067</v>
      </c>
      <c r="N56" s="5">
        <v>22195</v>
      </c>
      <c r="O56" s="5">
        <v>22195</v>
      </c>
      <c r="P56" s="32"/>
      <c r="Q56" s="43">
        <v>20107</v>
      </c>
      <c r="R56" s="43">
        <v>20107</v>
      </c>
      <c r="S56" s="5">
        <v>22319</v>
      </c>
      <c r="T56" s="5">
        <v>21933</v>
      </c>
      <c r="U56" s="5">
        <f>11175+11400</f>
        <v>22575</v>
      </c>
      <c r="V56" s="32"/>
      <c r="W56" s="43">
        <v>20107</v>
      </c>
      <c r="X56" s="5">
        <v>22319</v>
      </c>
      <c r="Y56" s="5">
        <f>11175+11400</f>
        <v>22575</v>
      </c>
      <c r="Z56" s="32"/>
      <c r="AA56" s="43">
        <v>20107</v>
      </c>
      <c r="AB56" s="5">
        <v>22319</v>
      </c>
      <c r="AC56" s="143">
        <f>11175+11400</f>
        <v>22575</v>
      </c>
    </row>
    <row r="57" spans="1:29" s="29" customFormat="1" ht="45" x14ac:dyDescent="0.2">
      <c r="A57" s="30" t="s">
        <v>43</v>
      </c>
      <c r="B57" s="40" t="s">
        <v>66</v>
      </c>
      <c r="C57" s="39" t="s">
        <v>58</v>
      </c>
      <c r="D57" s="42">
        <v>0</v>
      </c>
      <c r="E57" s="42">
        <v>0</v>
      </c>
      <c r="F57" s="42">
        <v>0</v>
      </c>
      <c r="G57" s="42">
        <v>0</v>
      </c>
      <c r="H57" s="32"/>
      <c r="I57" s="43">
        <v>32872</v>
      </c>
      <c r="J57" s="43">
        <v>32872</v>
      </c>
      <c r="K57" s="5">
        <v>36343</v>
      </c>
      <c r="L57" s="5">
        <f>36281+1570</f>
        <v>37851</v>
      </c>
      <c r="M57" s="5">
        <f>36281+1570</f>
        <v>37851</v>
      </c>
      <c r="N57" s="5">
        <f>36281+1570</f>
        <v>37851</v>
      </c>
      <c r="O57" s="5">
        <f>36281+1570</f>
        <v>37851</v>
      </c>
      <c r="P57" s="32"/>
      <c r="Q57" s="43">
        <v>32872</v>
      </c>
      <c r="R57" s="43">
        <v>32872</v>
      </c>
      <c r="S57" s="5">
        <v>36343</v>
      </c>
      <c r="T57" s="5">
        <f>36217+1500</f>
        <v>37717</v>
      </c>
      <c r="U57" s="5">
        <f>18263+19000</f>
        <v>37263</v>
      </c>
      <c r="V57" s="32"/>
      <c r="W57" s="43">
        <v>32872</v>
      </c>
      <c r="X57" s="5">
        <v>36343</v>
      </c>
      <c r="Y57" s="5">
        <f>18263+19000</f>
        <v>37263</v>
      </c>
      <c r="Z57" s="32"/>
      <c r="AA57" s="43">
        <v>32872</v>
      </c>
      <c r="AB57" s="5">
        <v>36343</v>
      </c>
      <c r="AC57" s="143">
        <f>18263+19000</f>
        <v>37263</v>
      </c>
    </row>
    <row r="58" spans="1:29" s="29" customFormat="1" ht="45" x14ac:dyDescent="0.2">
      <c r="A58" s="30" t="s">
        <v>43</v>
      </c>
      <c r="B58" s="40" t="s">
        <v>67</v>
      </c>
      <c r="C58" s="39" t="s">
        <v>58</v>
      </c>
      <c r="D58" s="42">
        <v>0</v>
      </c>
      <c r="E58" s="42">
        <v>0</v>
      </c>
      <c r="F58" s="42">
        <v>0</v>
      </c>
      <c r="G58" s="42">
        <v>0</v>
      </c>
      <c r="H58" s="32"/>
      <c r="I58" s="43">
        <v>32872</v>
      </c>
      <c r="J58" s="43">
        <v>32872</v>
      </c>
      <c r="K58" s="5">
        <v>36343</v>
      </c>
      <c r="L58" s="5">
        <f>33298+1570</f>
        <v>34868</v>
      </c>
      <c r="M58" s="5">
        <f>33298+1570</f>
        <v>34868</v>
      </c>
      <c r="N58" s="5">
        <f>33298+1570</f>
        <v>34868</v>
      </c>
      <c r="O58" s="5">
        <f>33298+1570</f>
        <v>34868</v>
      </c>
      <c r="P58" s="32"/>
      <c r="Q58" s="43">
        <v>32872</v>
      </c>
      <c r="R58" s="43">
        <v>32872</v>
      </c>
      <c r="S58" s="5">
        <v>36343</v>
      </c>
      <c r="T58" s="5">
        <f>33585+1500</f>
        <v>35085</v>
      </c>
      <c r="U58" s="5">
        <f>14752+19000</f>
        <v>33752</v>
      </c>
      <c r="V58" s="32"/>
      <c r="W58" s="43">
        <v>32872</v>
      </c>
      <c r="X58" s="5">
        <v>36343</v>
      </c>
      <c r="Y58" s="5">
        <f>14752+19000</f>
        <v>33752</v>
      </c>
      <c r="Z58" s="32"/>
      <c r="AA58" s="43">
        <v>32872</v>
      </c>
      <c r="AB58" s="5">
        <v>36343</v>
      </c>
      <c r="AC58" s="143">
        <f>14752+19000</f>
        <v>33752</v>
      </c>
    </row>
    <row r="59" spans="1:29" s="29" customFormat="1" ht="45" x14ac:dyDescent="0.2">
      <c r="A59" s="30" t="s">
        <v>43</v>
      </c>
      <c r="B59" s="40" t="s">
        <v>68</v>
      </c>
      <c r="C59" s="39" t="s">
        <v>58</v>
      </c>
      <c r="D59" s="42">
        <v>0</v>
      </c>
      <c r="E59" s="42">
        <v>0</v>
      </c>
      <c r="F59" s="42">
        <v>0</v>
      </c>
      <c r="G59" s="42">
        <v>0</v>
      </c>
      <c r="H59" s="32"/>
      <c r="I59" s="43">
        <v>32872</v>
      </c>
      <c r="J59" s="43">
        <v>32872</v>
      </c>
      <c r="K59" s="5">
        <v>36343</v>
      </c>
      <c r="L59" s="5">
        <f>30203+1570</f>
        <v>31773</v>
      </c>
      <c r="M59" s="5">
        <v>31773</v>
      </c>
      <c r="N59" s="5">
        <v>31773</v>
      </c>
      <c r="O59" s="5">
        <v>31773</v>
      </c>
      <c r="P59" s="32"/>
      <c r="Q59" s="43">
        <v>32872</v>
      </c>
      <c r="R59" s="43">
        <v>32872</v>
      </c>
      <c r="S59" s="5">
        <v>36343</v>
      </c>
      <c r="T59" s="5">
        <f>31545+1500</f>
        <v>33045</v>
      </c>
      <c r="U59" s="5">
        <f>13307+19000</f>
        <v>32307</v>
      </c>
      <c r="V59" s="32"/>
      <c r="W59" s="43">
        <v>32872</v>
      </c>
      <c r="X59" s="5">
        <v>36343</v>
      </c>
      <c r="Y59" s="5">
        <f>13307+19000</f>
        <v>32307</v>
      </c>
      <c r="Z59" s="32"/>
      <c r="AA59" s="43">
        <v>32872</v>
      </c>
      <c r="AB59" s="5">
        <v>36343</v>
      </c>
      <c r="AC59" s="143">
        <f>13307+19000</f>
        <v>32307</v>
      </c>
    </row>
    <row r="60" spans="1:29" s="29" customFormat="1" ht="45" x14ac:dyDescent="0.2">
      <c r="A60" s="30" t="s">
        <v>43</v>
      </c>
      <c r="B60" s="40" t="s">
        <v>148</v>
      </c>
      <c r="C60" s="39" t="s">
        <v>58</v>
      </c>
      <c r="D60" s="42"/>
      <c r="E60" s="42"/>
      <c r="F60" s="42">
        <v>0</v>
      </c>
      <c r="G60" s="42">
        <v>0</v>
      </c>
      <c r="H60" s="32"/>
      <c r="I60" s="43"/>
      <c r="J60" s="43"/>
      <c r="K60" s="5"/>
      <c r="L60" s="5"/>
      <c r="M60" s="5">
        <v>0</v>
      </c>
      <c r="N60" s="5">
        <v>0</v>
      </c>
      <c r="O60" s="5">
        <v>0</v>
      </c>
      <c r="P60" s="32"/>
      <c r="Q60" s="43"/>
      <c r="R60" s="43"/>
      <c r="S60" s="5">
        <v>0</v>
      </c>
      <c r="T60" s="5">
        <v>35658</v>
      </c>
      <c r="U60" s="5">
        <f>17671+19000</f>
        <v>36671</v>
      </c>
      <c r="V60" s="32"/>
      <c r="W60" s="43">
        <v>0</v>
      </c>
      <c r="X60" s="5">
        <v>0</v>
      </c>
      <c r="Y60" s="5">
        <v>0</v>
      </c>
      <c r="Z60" s="32"/>
      <c r="AA60" s="43">
        <v>0</v>
      </c>
      <c r="AB60" s="5">
        <v>0</v>
      </c>
      <c r="AC60" s="75">
        <v>0</v>
      </c>
    </row>
    <row r="61" spans="1:29" s="29" customFormat="1" ht="38.25" customHeight="1" x14ac:dyDescent="0.2">
      <c r="A61" s="30" t="s">
        <v>47</v>
      </c>
      <c r="B61" s="40" t="s">
        <v>69</v>
      </c>
      <c r="C61" s="39" t="s">
        <v>58</v>
      </c>
      <c r="D61" s="42">
        <v>0</v>
      </c>
      <c r="E61" s="42">
        <v>0</v>
      </c>
      <c r="F61" s="42">
        <v>0</v>
      </c>
      <c r="G61" s="42">
        <v>0</v>
      </c>
      <c r="H61" s="32"/>
      <c r="I61" s="43">
        <v>16307</v>
      </c>
      <c r="J61" s="43">
        <v>16307</v>
      </c>
      <c r="K61" s="5">
        <v>18093</v>
      </c>
      <c r="L61" s="5">
        <v>17889</v>
      </c>
      <c r="M61" s="5">
        <v>17889</v>
      </c>
      <c r="N61" s="5">
        <f>5588+10438</f>
        <v>16026</v>
      </c>
      <c r="O61" s="5">
        <f>5588+10438</f>
        <v>16026</v>
      </c>
      <c r="P61" s="32"/>
      <c r="Q61" s="43">
        <v>16307</v>
      </c>
      <c r="R61" s="43">
        <v>16307</v>
      </c>
      <c r="S61" s="5">
        <v>18093</v>
      </c>
      <c r="T61" s="5">
        <v>15699</v>
      </c>
      <c r="U61" s="5">
        <f>9132+9500</f>
        <v>18632</v>
      </c>
      <c r="V61" s="32"/>
      <c r="W61" s="43">
        <v>16307</v>
      </c>
      <c r="X61" s="5">
        <v>18093</v>
      </c>
      <c r="Y61" s="5">
        <f>9132+9500</f>
        <v>18632</v>
      </c>
      <c r="Z61" s="32"/>
      <c r="AA61" s="43">
        <v>16307</v>
      </c>
      <c r="AB61" s="5">
        <v>18093</v>
      </c>
      <c r="AC61" s="143">
        <f>9132+9500</f>
        <v>18632</v>
      </c>
    </row>
    <row r="62" spans="1:29" s="29" customFormat="1" ht="45" x14ac:dyDescent="0.2">
      <c r="A62" s="30" t="s">
        <v>51</v>
      </c>
      <c r="B62" s="40" t="s">
        <v>70</v>
      </c>
      <c r="C62" s="39" t="s">
        <v>58</v>
      </c>
      <c r="D62" s="42">
        <v>0</v>
      </c>
      <c r="E62" s="42">
        <v>0</v>
      </c>
      <c r="F62" s="42">
        <v>0</v>
      </c>
      <c r="G62" s="42">
        <v>0</v>
      </c>
      <c r="H62" s="32"/>
      <c r="I62" s="43">
        <v>4038</v>
      </c>
      <c r="J62" s="43">
        <v>4038</v>
      </c>
      <c r="K62" s="5">
        <f>ROUNDUP(K36*0.2656,0)</f>
        <v>4405</v>
      </c>
      <c r="L62" s="5">
        <f>ROUNDUP(L36*0.2604,0)</f>
        <v>4318</v>
      </c>
      <c r="M62" s="5">
        <f>ROUNDUP(M36*0.2604,0)</f>
        <v>4318</v>
      </c>
      <c r="N62" s="5">
        <v>4318</v>
      </c>
      <c r="O62" s="5">
        <f>4318-707</f>
        <v>3611</v>
      </c>
      <c r="P62" s="32"/>
      <c r="Q62" s="43">
        <v>4038</v>
      </c>
      <c r="R62" s="43">
        <v>4038</v>
      </c>
      <c r="S62" s="5">
        <f>ROUNDUP(S36*0.2656,0)</f>
        <v>4405</v>
      </c>
      <c r="T62" s="5">
        <v>2686</v>
      </c>
      <c r="U62" s="5">
        <f>ROUNDUP(U36*0.2841,0)</f>
        <v>2685</v>
      </c>
      <c r="V62" s="32"/>
      <c r="W62" s="43">
        <v>4038</v>
      </c>
      <c r="X62" s="5">
        <f>ROUNDUP(X36*0.2656,0)</f>
        <v>4405</v>
      </c>
      <c r="Y62" s="5">
        <f>ROUNDUP(Y36*0.2841,0)</f>
        <v>2884</v>
      </c>
      <c r="Z62" s="32"/>
      <c r="AA62" s="43">
        <v>4038</v>
      </c>
      <c r="AB62" s="5">
        <f>ROUNDUP(AB36*0.2656,0)</f>
        <v>4405</v>
      </c>
      <c r="AC62" s="143">
        <f>ROUNDUP(AC36*0.2841,0)</f>
        <v>2884</v>
      </c>
    </row>
    <row r="63" spans="1:29" s="29" customFormat="1" ht="51" customHeight="1" x14ac:dyDescent="0.2">
      <c r="A63" s="30" t="s">
        <v>51</v>
      </c>
      <c r="B63" s="40" t="s">
        <v>71</v>
      </c>
      <c r="C63" s="39" t="s">
        <v>58</v>
      </c>
      <c r="D63" s="42">
        <v>0</v>
      </c>
      <c r="E63" s="42">
        <v>0</v>
      </c>
      <c r="F63" s="42">
        <v>0</v>
      </c>
      <c r="G63" s="42">
        <v>0</v>
      </c>
      <c r="H63" s="32"/>
      <c r="I63" s="43">
        <v>1666</v>
      </c>
      <c r="J63" s="43">
        <v>1666</v>
      </c>
      <c r="K63" s="5">
        <f>ROUNDUP(K37*0.2656,0)</f>
        <v>1817</v>
      </c>
      <c r="L63" s="5">
        <f>ROUNDUP(L37*0.2604,0)</f>
        <v>1782</v>
      </c>
      <c r="M63" s="5">
        <f>ROUNDUP(M37*0.2604,0)</f>
        <v>1782</v>
      </c>
      <c r="N63" s="5">
        <f>ROUNDUP(N37*0.2604,0)</f>
        <v>1782</v>
      </c>
      <c r="O63" s="5">
        <f>ROUNDUP(O37*0.2604,0)</f>
        <v>1782</v>
      </c>
      <c r="P63" s="32"/>
      <c r="Q63" s="43">
        <v>1666</v>
      </c>
      <c r="R63" s="43">
        <v>1666</v>
      </c>
      <c r="S63" s="5">
        <f>ROUNDUP(S37*0.2656,0)</f>
        <v>1817</v>
      </c>
      <c r="T63" s="5">
        <v>0</v>
      </c>
      <c r="U63" s="5">
        <f>ROUNDUP(U37*0.2841,0)</f>
        <v>1944</v>
      </c>
      <c r="V63" s="32"/>
      <c r="W63" s="43">
        <v>1666</v>
      </c>
      <c r="X63" s="5">
        <f>ROUNDUP(X37*0.2656,0)</f>
        <v>1817</v>
      </c>
      <c r="Y63" s="5">
        <f>ROUNDUP(Y37*0.2841,0)</f>
        <v>1944</v>
      </c>
      <c r="Z63" s="32"/>
      <c r="AA63" s="43">
        <v>1666</v>
      </c>
      <c r="AB63" s="5">
        <f>ROUNDUP(AB37*0.2656,0)</f>
        <v>1817</v>
      </c>
      <c r="AC63" s="143">
        <f>ROUNDUP(AC37*0.2841,0)</f>
        <v>1944</v>
      </c>
    </row>
    <row r="64" spans="1:29" s="29" customFormat="1" ht="51" customHeight="1" x14ac:dyDescent="0.2">
      <c r="A64" s="30" t="s">
        <v>38</v>
      </c>
      <c r="B64" s="40" t="s">
        <v>132</v>
      </c>
      <c r="C64" s="39" t="s">
        <v>58</v>
      </c>
      <c r="D64" s="42"/>
      <c r="E64" s="42"/>
      <c r="F64" s="42">
        <v>0</v>
      </c>
      <c r="G64" s="42">
        <v>0</v>
      </c>
      <c r="H64" s="32"/>
      <c r="I64" s="43"/>
      <c r="J64" s="43"/>
      <c r="K64" s="5"/>
      <c r="L64" s="5"/>
      <c r="M64" s="5">
        <v>0</v>
      </c>
      <c r="N64" s="5">
        <f>ROUNDUP(N38*0.2604,0)</f>
        <v>209</v>
      </c>
      <c r="O64" s="5">
        <f>ROUNDUP(O38*0.2604,0)</f>
        <v>209</v>
      </c>
      <c r="P64" s="32"/>
      <c r="Q64" s="43"/>
      <c r="R64" s="43"/>
      <c r="S64" s="5">
        <v>0</v>
      </c>
      <c r="T64" s="5">
        <v>227</v>
      </c>
      <c r="U64" s="5">
        <f>ROUNDUP(U38*0.2841,0)</f>
        <v>228</v>
      </c>
      <c r="V64" s="32"/>
      <c r="W64" s="43">
        <v>0</v>
      </c>
      <c r="X64" s="5">
        <v>0</v>
      </c>
      <c r="Y64" s="5">
        <v>0</v>
      </c>
      <c r="Z64" s="32"/>
      <c r="AA64" s="43">
        <v>0</v>
      </c>
      <c r="AB64" s="5">
        <v>0</v>
      </c>
      <c r="AC64" s="75">
        <v>0</v>
      </c>
    </row>
    <row r="65" spans="1:29" s="29" customFormat="1" ht="36" customHeight="1" x14ac:dyDescent="0.2">
      <c r="A65" s="30" t="s">
        <v>52</v>
      </c>
      <c r="B65" s="40" t="s">
        <v>72</v>
      </c>
      <c r="C65" s="39" t="s">
        <v>58</v>
      </c>
      <c r="D65" s="42" t="s">
        <v>73</v>
      </c>
      <c r="E65" s="42" t="s">
        <v>73</v>
      </c>
      <c r="F65" s="42" t="s">
        <v>73</v>
      </c>
      <c r="G65" s="42" t="s">
        <v>73</v>
      </c>
      <c r="H65" s="32"/>
      <c r="I65" s="43">
        <v>1340</v>
      </c>
      <c r="J65" s="43">
        <v>1340</v>
      </c>
      <c r="K65" s="5">
        <f t="shared" ref="K65" si="12">ROUNDUP(K39*0.2656,0)</f>
        <v>1461</v>
      </c>
      <c r="L65" s="5">
        <f t="shared" ref="L65:M65" si="13">ROUNDUP(L39*0.2604,0)</f>
        <v>1433</v>
      </c>
      <c r="M65" s="5">
        <f t="shared" si="13"/>
        <v>1433</v>
      </c>
      <c r="N65" s="5">
        <f t="shared" ref="N65" si="14">ROUNDUP(N39*0.2604,0)</f>
        <v>1433</v>
      </c>
      <c r="O65" s="5">
        <v>2140</v>
      </c>
      <c r="P65" s="32"/>
      <c r="Q65" s="43">
        <v>1340</v>
      </c>
      <c r="R65" s="43">
        <v>1340</v>
      </c>
      <c r="S65" s="5">
        <f t="shared" ref="S65" si="15">ROUNDUP(S39*0.2656,0)</f>
        <v>1461</v>
      </c>
      <c r="T65" s="5">
        <v>0</v>
      </c>
      <c r="U65" s="5">
        <f>ROUNDUP(U39*0.2841,0)</f>
        <v>0</v>
      </c>
      <c r="V65" s="32"/>
      <c r="W65" s="43">
        <v>1340</v>
      </c>
      <c r="X65" s="5">
        <f>ROUNDUP(X39*0.2656,0)</f>
        <v>1461</v>
      </c>
      <c r="Y65" s="5">
        <f>ROUNDUP(Y39*0.2841,0)</f>
        <v>1563</v>
      </c>
      <c r="Z65" s="32"/>
      <c r="AA65" s="43">
        <v>1340</v>
      </c>
      <c r="AB65" s="5">
        <f>ROUNDUP(AB39*0.2656,0)</f>
        <v>1461</v>
      </c>
      <c r="AC65" s="143">
        <f>ROUNDUP(AC39*0.2841,0)</f>
        <v>1563</v>
      </c>
    </row>
    <row r="66" spans="1:29" s="29" customFormat="1" ht="35.25" customHeight="1" x14ac:dyDescent="0.2">
      <c r="A66" s="30" t="s">
        <v>47</v>
      </c>
      <c r="B66" s="40" t="s">
        <v>135</v>
      </c>
      <c r="C66" s="39" t="s">
        <v>58</v>
      </c>
      <c r="D66" s="42">
        <v>0</v>
      </c>
      <c r="E66" s="42">
        <v>0</v>
      </c>
      <c r="F66" s="42">
        <v>0</v>
      </c>
      <c r="G66" s="42">
        <v>0</v>
      </c>
      <c r="H66" s="32"/>
      <c r="I66" s="43">
        <v>29238</v>
      </c>
      <c r="J66" s="43">
        <v>29238</v>
      </c>
      <c r="K66" s="5">
        <v>32004</v>
      </c>
      <c r="L66" s="5">
        <v>31582</v>
      </c>
      <c r="M66" s="5">
        <v>31582</v>
      </c>
      <c r="N66" s="5">
        <v>31582</v>
      </c>
      <c r="O66" s="5">
        <v>31582</v>
      </c>
      <c r="P66" s="32"/>
      <c r="Q66" s="43">
        <v>29238</v>
      </c>
      <c r="R66" s="43">
        <v>29238</v>
      </c>
      <c r="S66" s="5">
        <v>32004</v>
      </c>
      <c r="T66" s="5">
        <v>30805</v>
      </c>
      <c r="U66" s="5">
        <f>12280+19000</f>
        <v>31280</v>
      </c>
      <c r="V66" s="32"/>
      <c r="W66" s="43">
        <v>29238</v>
      </c>
      <c r="X66" s="5">
        <v>32004</v>
      </c>
      <c r="Y66" s="5">
        <f>12525+19000</f>
        <v>31525</v>
      </c>
      <c r="Z66" s="32"/>
      <c r="AA66" s="43">
        <v>29238</v>
      </c>
      <c r="AB66" s="5">
        <v>32004</v>
      </c>
      <c r="AC66" s="143">
        <f>12525+19000</f>
        <v>31525</v>
      </c>
    </row>
    <row r="67" spans="1:29" s="29" customFormat="1" ht="38.25" customHeight="1" x14ac:dyDescent="0.2">
      <c r="A67" s="30" t="s">
        <v>47</v>
      </c>
      <c r="B67" s="40" t="s">
        <v>74</v>
      </c>
      <c r="C67" s="39" t="s">
        <v>58</v>
      </c>
      <c r="D67" s="5">
        <v>0</v>
      </c>
      <c r="E67" s="5">
        <v>0</v>
      </c>
      <c r="F67" s="5">
        <v>0</v>
      </c>
      <c r="G67" s="5">
        <v>0</v>
      </c>
      <c r="H67" s="4"/>
      <c r="I67" s="5">
        <v>23893</v>
      </c>
      <c r="J67" s="5">
        <v>23893</v>
      </c>
      <c r="K67" s="5">
        <v>26175</v>
      </c>
      <c r="L67" s="5">
        <v>25867</v>
      </c>
      <c r="M67" s="5">
        <v>25867</v>
      </c>
      <c r="N67" s="5">
        <v>25867</v>
      </c>
      <c r="O67" s="5">
        <v>25867</v>
      </c>
      <c r="P67" s="4"/>
      <c r="Q67" s="5">
        <v>23893</v>
      </c>
      <c r="R67" s="5">
        <v>23893</v>
      </c>
      <c r="S67" s="5">
        <v>26175</v>
      </c>
      <c r="T67" s="5">
        <v>24569</v>
      </c>
      <c r="U67" s="5">
        <f>6022+19000</f>
        <v>25022</v>
      </c>
      <c r="V67" s="4"/>
      <c r="W67" s="5">
        <v>23893</v>
      </c>
      <c r="X67" s="5">
        <v>26175</v>
      </c>
      <c r="Y67" s="5">
        <f>6022+19000</f>
        <v>25022</v>
      </c>
      <c r="Z67" s="4"/>
      <c r="AA67" s="5">
        <v>23893</v>
      </c>
      <c r="AB67" s="5">
        <v>26175</v>
      </c>
      <c r="AC67" s="143">
        <f>6022+19000</f>
        <v>25022</v>
      </c>
    </row>
    <row r="68" spans="1:29" s="29" customFormat="1" ht="38.25" customHeight="1" x14ac:dyDescent="0.2">
      <c r="A68" s="30" t="s">
        <v>126</v>
      </c>
      <c r="B68" s="145" t="s">
        <v>166</v>
      </c>
      <c r="C68" s="39" t="s">
        <v>58</v>
      </c>
      <c r="D68" s="5">
        <v>0</v>
      </c>
      <c r="E68" s="5">
        <v>0</v>
      </c>
      <c r="F68" s="5">
        <v>0</v>
      </c>
      <c r="G68" s="5">
        <v>0</v>
      </c>
      <c r="H68" s="4"/>
      <c r="I68" s="5">
        <v>0</v>
      </c>
      <c r="J68" s="5">
        <v>0</v>
      </c>
      <c r="K68" s="5">
        <v>0</v>
      </c>
      <c r="L68" s="5">
        <v>0</v>
      </c>
      <c r="M68" s="5">
        <v>0</v>
      </c>
      <c r="N68" s="5">
        <v>0</v>
      </c>
      <c r="O68" s="5">
        <v>0</v>
      </c>
      <c r="P68" s="4"/>
      <c r="Q68" s="5">
        <v>0</v>
      </c>
      <c r="R68" s="5">
        <v>0</v>
      </c>
      <c r="S68" s="5">
        <v>0</v>
      </c>
      <c r="T68" s="5">
        <v>0</v>
      </c>
      <c r="U68" s="5">
        <f>3366+395</f>
        <v>3761</v>
      </c>
      <c r="V68" s="4"/>
      <c r="W68" s="5">
        <v>0</v>
      </c>
      <c r="X68" s="5">
        <v>0</v>
      </c>
      <c r="Y68" s="5">
        <v>0</v>
      </c>
      <c r="Z68" s="4"/>
      <c r="AA68" s="5">
        <v>0</v>
      </c>
      <c r="AB68" s="5">
        <v>0</v>
      </c>
      <c r="AC68" s="75">
        <v>0</v>
      </c>
    </row>
    <row r="69" spans="1:29" s="29" customFormat="1" ht="15.75" x14ac:dyDescent="0.25">
      <c r="A69" s="41"/>
      <c r="B69" s="36" t="s">
        <v>75</v>
      </c>
      <c r="C69" s="37" t="s">
        <v>58</v>
      </c>
      <c r="D69" s="38">
        <f>SUM(D47:D68)</f>
        <v>19346</v>
      </c>
      <c r="E69" s="38">
        <f t="shared" ref="E69:AC69" si="16">SUM(E47:E68)</f>
        <v>16296</v>
      </c>
      <c r="F69" s="38">
        <f t="shared" si="16"/>
        <v>10928</v>
      </c>
      <c r="G69" s="38">
        <f t="shared" si="16"/>
        <v>7124.5</v>
      </c>
      <c r="H69" s="38"/>
      <c r="I69" s="38">
        <f t="shared" si="16"/>
        <v>282437</v>
      </c>
      <c r="J69" s="38">
        <f t="shared" si="16"/>
        <v>282437</v>
      </c>
      <c r="K69" s="38">
        <f t="shared" si="16"/>
        <v>339064</v>
      </c>
      <c r="L69" s="38">
        <f t="shared" si="16"/>
        <v>332773</v>
      </c>
      <c r="M69" s="38">
        <f t="shared" si="16"/>
        <v>332773</v>
      </c>
      <c r="N69" s="38">
        <f t="shared" si="16"/>
        <v>326896</v>
      </c>
      <c r="O69" s="38">
        <f t="shared" si="16"/>
        <v>326896</v>
      </c>
      <c r="P69" s="38"/>
      <c r="Q69" s="38">
        <f t="shared" si="16"/>
        <v>282820</v>
      </c>
      <c r="R69" s="38">
        <f t="shared" si="16"/>
        <v>282820</v>
      </c>
      <c r="S69" s="38">
        <f t="shared" si="16"/>
        <v>343015</v>
      </c>
      <c r="T69" s="38">
        <f t="shared" si="16"/>
        <v>354632</v>
      </c>
      <c r="U69" s="38">
        <f t="shared" si="16"/>
        <v>388607</v>
      </c>
      <c r="V69" s="38"/>
      <c r="W69" s="38">
        <f t="shared" si="16"/>
        <v>283969</v>
      </c>
      <c r="X69" s="38">
        <f t="shared" si="16"/>
        <v>343015</v>
      </c>
      <c r="Y69" s="38">
        <f t="shared" si="16"/>
        <v>339183</v>
      </c>
      <c r="Z69" s="38"/>
      <c r="AA69" s="38">
        <f t="shared" si="16"/>
        <v>282054</v>
      </c>
      <c r="AB69" s="38">
        <f t="shared" si="16"/>
        <v>338695</v>
      </c>
      <c r="AC69" s="141">
        <f t="shared" si="16"/>
        <v>334162</v>
      </c>
    </row>
    <row r="70" spans="1:29" s="29" customFormat="1" ht="54.75" customHeight="1" x14ac:dyDescent="0.2">
      <c r="A70" s="34" t="s">
        <v>51</v>
      </c>
      <c r="B70" s="3" t="s">
        <v>151</v>
      </c>
      <c r="C70" s="39">
        <v>4300</v>
      </c>
      <c r="D70" s="43">
        <v>0</v>
      </c>
      <c r="E70" s="43">
        <v>0</v>
      </c>
      <c r="F70" s="43">
        <v>0</v>
      </c>
      <c r="G70" s="43">
        <v>0</v>
      </c>
      <c r="H70" s="32"/>
      <c r="I70" s="43">
        <v>3500</v>
      </c>
      <c r="J70" s="43">
        <v>3500</v>
      </c>
      <c r="K70" s="43">
        <v>3500</v>
      </c>
      <c r="L70" s="43">
        <v>3500</v>
      </c>
      <c r="M70" s="43">
        <v>3500</v>
      </c>
      <c r="N70" s="5">
        <v>0</v>
      </c>
      <c r="O70" s="5">
        <v>0</v>
      </c>
      <c r="P70" s="32"/>
      <c r="Q70" s="43">
        <v>3500</v>
      </c>
      <c r="R70" s="43">
        <v>3500</v>
      </c>
      <c r="S70" s="43">
        <v>3500</v>
      </c>
      <c r="T70" s="5">
        <v>0</v>
      </c>
      <c r="U70" s="5">
        <v>0</v>
      </c>
      <c r="V70" s="32"/>
      <c r="W70" s="43">
        <v>3500</v>
      </c>
      <c r="X70" s="43">
        <v>3500</v>
      </c>
      <c r="Y70" s="43">
        <v>3500</v>
      </c>
      <c r="Z70" s="32"/>
      <c r="AA70" s="43">
        <v>3500</v>
      </c>
      <c r="AB70" s="43">
        <v>3500</v>
      </c>
      <c r="AC70" s="77">
        <v>3500</v>
      </c>
    </row>
    <row r="71" spans="1:29" s="29" customFormat="1" ht="54.75" customHeight="1" x14ac:dyDescent="0.2">
      <c r="A71" s="34" t="s">
        <v>51</v>
      </c>
      <c r="B71" s="3" t="s">
        <v>76</v>
      </c>
      <c r="C71" s="39">
        <v>4300</v>
      </c>
      <c r="D71" s="43">
        <v>0</v>
      </c>
      <c r="E71" s="43">
        <v>0</v>
      </c>
      <c r="F71" s="43">
        <v>0</v>
      </c>
      <c r="G71" s="43">
        <v>0</v>
      </c>
      <c r="H71" s="32"/>
      <c r="I71" s="43">
        <v>5500</v>
      </c>
      <c r="J71" s="43">
        <v>5500</v>
      </c>
      <c r="K71" s="43">
        <v>5500</v>
      </c>
      <c r="L71" s="43">
        <v>5500</v>
      </c>
      <c r="M71" s="43">
        <v>5500</v>
      </c>
      <c r="N71" s="5">
        <v>0</v>
      </c>
      <c r="O71" s="5">
        <v>0</v>
      </c>
      <c r="P71" s="32"/>
      <c r="Q71" s="43">
        <v>5500</v>
      </c>
      <c r="R71" s="43">
        <v>5500</v>
      </c>
      <c r="S71" s="43">
        <v>5500</v>
      </c>
      <c r="T71" s="5">
        <v>0</v>
      </c>
      <c r="U71" s="5">
        <v>0</v>
      </c>
      <c r="V71" s="32"/>
      <c r="W71" s="43">
        <v>5500</v>
      </c>
      <c r="X71" s="43">
        <v>5500</v>
      </c>
      <c r="Y71" s="43">
        <v>5500</v>
      </c>
      <c r="Z71" s="32"/>
      <c r="AA71" s="43">
        <v>5500</v>
      </c>
      <c r="AB71" s="43">
        <v>5500</v>
      </c>
      <c r="AC71" s="77">
        <v>5500</v>
      </c>
    </row>
    <row r="72" spans="1:29" s="29" customFormat="1" ht="67.5" customHeight="1" x14ac:dyDescent="0.2">
      <c r="A72" s="34" t="s">
        <v>51</v>
      </c>
      <c r="B72" s="122" t="s">
        <v>150</v>
      </c>
      <c r="C72" s="39">
        <v>4300</v>
      </c>
      <c r="D72" s="43"/>
      <c r="E72" s="43"/>
      <c r="F72" s="43">
        <v>0</v>
      </c>
      <c r="G72" s="43">
        <v>0</v>
      </c>
      <c r="H72" s="32"/>
      <c r="I72" s="43"/>
      <c r="J72" s="43"/>
      <c r="K72" s="43"/>
      <c r="L72" s="43"/>
      <c r="M72" s="43">
        <v>0</v>
      </c>
      <c r="N72" s="5">
        <v>0</v>
      </c>
      <c r="O72" s="5">
        <v>0</v>
      </c>
      <c r="P72" s="32"/>
      <c r="Q72" s="43"/>
      <c r="R72" s="43"/>
      <c r="S72" s="43">
        <v>0</v>
      </c>
      <c r="T72" s="5">
        <v>18000</v>
      </c>
      <c r="U72" s="5">
        <v>18000</v>
      </c>
      <c r="V72" s="32"/>
      <c r="W72" s="43">
        <v>0</v>
      </c>
      <c r="X72" s="43">
        <v>0</v>
      </c>
      <c r="Y72" s="43">
        <v>0</v>
      </c>
      <c r="Z72" s="32"/>
      <c r="AA72" s="43">
        <v>0</v>
      </c>
      <c r="AB72" s="43">
        <v>0</v>
      </c>
      <c r="AC72" s="77">
        <v>0</v>
      </c>
    </row>
    <row r="73" spans="1:29" s="29" customFormat="1" ht="130.5" customHeight="1" x14ac:dyDescent="0.2">
      <c r="A73" s="30" t="s">
        <v>79</v>
      </c>
      <c r="B73" s="40" t="s">
        <v>152</v>
      </c>
      <c r="C73" s="31">
        <v>4300</v>
      </c>
      <c r="D73" s="5"/>
      <c r="E73" s="5"/>
      <c r="F73" s="5">
        <v>0</v>
      </c>
      <c r="G73" s="43">
        <v>0</v>
      </c>
      <c r="H73" s="32"/>
      <c r="I73" s="43"/>
      <c r="J73" s="43"/>
      <c r="K73" s="43"/>
      <c r="L73" s="43">
        <v>0</v>
      </c>
      <c r="M73" s="5">
        <v>6000</v>
      </c>
      <c r="N73" s="5">
        <v>570.72</v>
      </c>
      <c r="O73" s="5">
        <v>570.72</v>
      </c>
      <c r="P73" s="32"/>
      <c r="Q73" s="43"/>
      <c r="R73" s="43">
        <v>0</v>
      </c>
      <c r="S73" s="43">
        <v>0</v>
      </c>
      <c r="T73" s="5">
        <v>5000</v>
      </c>
      <c r="U73" s="5">
        <v>5000</v>
      </c>
      <c r="V73" s="32"/>
      <c r="W73" s="43">
        <v>0</v>
      </c>
      <c r="X73" s="43">
        <v>0</v>
      </c>
      <c r="Y73" s="5">
        <v>10000</v>
      </c>
      <c r="Z73" s="32"/>
      <c r="AA73" s="43">
        <v>0</v>
      </c>
      <c r="AB73" s="43">
        <v>0</v>
      </c>
      <c r="AC73" s="75">
        <v>10000</v>
      </c>
    </row>
    <row r="74" spans="1:29" s="29" customFormat="1" ht="309" customHeight="1" x14ac:dyDescent="0.2">
      <c r="A74" s="33" t="s">
        <v>43</v>
      </c>
      <c r="B74" s="40" t="s">
        <v>188</v>
      </c>
      <c r="C74" s="31">
        <v>4400</v>
      </c>
      <c r="D74" s="5">
        <v>0</v>
      </c>
      <c r="E74" s="5">
        <v>0</v>
      </c>
      <c r="F74" s="5">
        <v>0</v>
      </c>
      <c r="G74" s="43">
        <v>0</v>
      </c>
      <c r="H74" s="32"/>
      <c r="I74" s="43">
        <v>109200</v>
      </c>
      <c r="J74" s="43">
        <v>109200</v>
      </c>
      <c r="K74" s="43">
        <v>109200</v>
      </c>
      <c r="L74" s="5">
        <f>76585+18570+10200+2000</f>
        <v>107355</v>
      </c>
      <c r="M74" s="5">
        <f>76585+18570+10200+2000+21600+6000</f>
        <v>134955</v>
      </c>
      <c r="N74" s="5">
        <f>76585+18570+10200+2000+21600+6000+4364</f>
        <v>139319</v>
      </c>
      <c r="O74" s="5">
        <f>76585+18570+10200+2000+21600+6000+4364</f>
        <v>139319</v>
      </c>
      <c r="P74" s="32"/>
      <c r="Q74" s="43">
        <v>124800</v>
      </c>
      <c r="R74" s="43">
        <v>124800</v>
      </c>
      <c r="S74" s="43">
        <v>124800</v>
      </c>
      <c r="T74" s="5">
        <f>124800-38978</f>
        <v>85822</v>
      </c>
      <c r="U74" s="5">
        <f>34800+40000</f>
        <v>74800</v>
      </c>
      <c r="V74" s="32"/>
      <c r="W74" s="43">
        <v>0</v>
      </c>
      <c r="X74" s="43">
        <v>0</v>
      </c>
      <c r="Y74" s="43">
        <v>0</v>
      </c>
      <c r="Z74" s="32"/>
      <c r="AA74" s="43">
        <v>0</v>
      </c>
      <c r="AB74" s="43">
        <v>0</v>
      </c>
      <c r="AC74" s="77">
        <v>0</v>
      </c>
    </row>
    <row r="75" spans="1:29" s="29" customFormat="1" ht="76.5" customHeight="1" x14ac:dyDescent="0.2">
      <c r="A75" s="33" t="s">
        <v>43</v>
      </c>
      <c r="B75" s="40" t="s">
        <v>130</v>
      </c>
      <c r="C75" s="31">
        <v>4300</v>
      </c>
      <c r="D75" s="43"/>
      <c r="E75" s="43"/>
      <c r="F75" s="43">
        <v>0</v>
      </c>
      <c r="G75" s="43">
        <v>0</v>
      </c>
      <c r="H75" s="32"/>
      <c r="I75" s="43"/>
      <c r="J75" s="43"/>
      <c r="K75" s="43">
        <v>0</v>
      </c>
      <c r="L75" s="5">
        <v>13480</v>
      </c>
      <c r="M75" s="5">
        <f>13480+3854</f>
        <v>17334</v>
      </c>
      <c r="N75" s="5">
        <v>0</v>
      </c>
      <c r="O75" s="5">
        <v>0</v>
      </c>
      <c r="P75" s="32"/>
      <c r="Q75" s="43"/>
      <c r="R75" s="43">
        <v>0</v>
      </c>
      <c r="S75" s="43">
        <v>0</v>
      </c>
      <c r="T75" s="43">
        <v>0</v>
      </c>
      <c r="U75" s="43">
        <v>0</v>
      </c>
      <c r="V75" s="32"/>
      <c r="W75" s="43">
        <v>0</v>
      </c>
      <c r="X75" s="43">
        <v>0</v>
      </c>
      <c r="Y75" s="43">
        <v>0</v>
      </c>
      <c r="Z75" s="32"/>
      <c r="AA75" s="43">
        <v>0</v>
      </c>
      <c r="AB75" s="43">
        <v>0</v>
      </c>
      <c r="AC75" s="77">
        <v>0</v>
      </c>
    </row>
    <row r="76" spans="1:29" s="29" customFormat="1" ht="66" customHeight="1" x14ac:dyDescent="0.2">
      <c r="A76" s="33" t="s">
        <v>52</v>
      </c>
      <c r="B76" s="40" t="s">
        <v>77</v>
      </c>
      <c r="C76" s="31">
        <v>4300</v>
      </c>
      <c r="D76" s="43">
        <v>1000</v>
      </c>
      <c r="E76" s="43">
        <v>1000</v>
      </c>
      <c r="F76" s="5">
        <v>534</v>
      </c>
      <c r="G76" s="5">
        <v>0</v>
      </c>
      <c r="H76" s="32"/>
      <c r="I76" s="43">
        <v>0</v>
      </c>
      <c r="J76" s="43">
        <v>0</v>
      </c>
      <c r="K76" s="43">
        <v>0</v>
      </c>
      <c r="L76" s="5">
        <v>0</v>
      </c>
      <c r="M76" s="5">
        <v>0</v>
      </c>
      <c r="N76" s="5">
        <v>0</v>
      </c>
      <c r="O76" s="5">
        <v>0</v>
      </c>
      <c r="P76" s="32"/>
      <c r="Q76" s="43">
        <v>0</v>
      </c>
      <c r="R76" s="43">
        <v>0</v>
      </c>
      <c r="S76" s="43">
        <v>0</v>
      </c>
      <c r="T76" s="43">
        <v>0</v>
      </c>
      <c r="U76" s="43">
        <v>0</v>
      </c>
      <c r="V76" s="32"/>
      <c r="W76" s="43">
        <v>0</v>
      </c>
      <c r="X76" s="43">
        <v>0</v>
      </c>
      <c r="Y76" s="43">
        <v>0</v>
      </c>
      <c r="Z76" s="32"/>
      <c r="AA76" s="43">
        <v>0</v>
      </c>
      <c r="AB76" s="43">
        <v>0</v>
      </c>
      <c r="AC76" s="77">
        <v>0</v>
      </c>
    </row>
    <row r="77" spans="1:29" s="29" customFormat="1" ht="72" customHeight="1" x14ac:dyDescent="0.2">
      <c r="A77" s="33" t="s">
        <v>36</v>
      </c>
      <c r="B77" s="40" t="s">
        <v>125</v>
      </c>
      <c r="C77" s="31">
        <v>4200</v>
      </c>
      <c r="D77" s="43"/>
      <c r="E77" s="43"/>
      <c r="F77" s="5">
        <v>0</v>
      </c>
      <c r="G77" s="5">
        <v>0</v>
      </c>
      <c r="H77" s="32"/>
      <c r="I77" s="43"/>
      <c r="J77" s="43"/>
      <c r="K77" s="43">
        <v>0</v>
      </c>
      <c r="L77" s="5">
        <v>720</v>
      </c>
      <c r="M77" s="5">
        <v>720</v>
      </c>
      <c r="N77" s="5">
        <v>720</v>
      </c>
      <c r="O77" s="5">
        <v>720</v>
      </c>
      <c r="P77" s="32"/>
      <c r="Q77" s="43"/>
      <c r="R77" s="43">
        <v>0</v>
      </c>
      <c r="S77" s="43">
        <v>0</v>
      </c>
      <c r="T77" s="43">
        <v>0</v>
      </c>
      <c r="U77" s="43">
        <v>0</v>
      </c>
      <c r="V77" s="32"/>
      <c r="W77" s="43">
        <v>0</v>
      </c>
      <c r="X77" s="43">
        <v>0</v>
      </c>
      <c r="Y77" s="43">
        <v>0</v>
      </c>
      <c r="Z77" s="32"/>
      <c r="AA77" s="43">
        <v>0</v>
      </c>
      <c r="AB77" s="43">
        <v>0</v>
      </c>
      <c r="AC77" s="77">
        <v>0</v>
      </c>
    </row>
    <row r="78" spans="1:29" s="29" customFormat="1" ht="95.25" customHeight="1" x14ac:dyDescent="0.2">
      <c r="A78" s="172" t="s">
        <v>78</v>
      </c>
      <c r="B78" s="97" t="s">
        <v>153</v>
      </c>
      <c r="C78" s="115">
        <v>4300</v>
      </c>
      <c r="D78" s="99">
        <v>0</v>
      </c>
      <c r="E78" s="99">
        <v>0</v>
      </c>
      <c r="F78" s="99">
        <v>0</v>
      </c>
      <c r="G78" s="99">
        <v>0</v>
      </c>
      <c r="H78" s="140"/>
      <c r="I78" s="99">
        <v>24500</v>
      </c>
      <c r="J78" s="99">
        <v>24500</v>
      </c>
      <c r="K78" s="131">
        <v>20742</v>
      </c>
      <c r="L78" s="131">
        <v>20742</v>
      </c>
      <c r="M78" s="131">
        <v>20742</v>
      </c>
      <c r="N78" s="131">
        <f>20742-18465.72</f>
        <v>2276.2799999999988</v>
      </c>
      <c r="O78" s="131">
        <f>20742-18465.72</f>
        <v>2276.2799999999988</v>
      </c>
      <c r="P78" s="140"/>
      <c r="Q78" s="99">
        <v>24500</v>
      </c>
      <c r="R78" s="99">
        <v>24500</v>
      </c>
      <c r="S78" s="131">
        <v>10000</v>
      </c>
      <c r="T78" s="131">
        <v>10000</v>
      </c>
      <c r="U78" s="131">
        <v>10000</v>
      </c>
      <c r="V78" s="140"/>
      <c r="W78" s="99">
        <v>24500</v>
      </c>
      <c r="X78" s="131">
        <v>13468</v>
      </c>
      <c r="Y78" s="131">
        <f>10000+229.4-4939</f>
        <v>5290.4</v>
      </c>
      <c r="Z78" s="140"/>
      <c r="AA78" s="99">
        <v>0</v>
      </c>
      <c r="AB78" s="99">
        <v>0</v>
      </c>
      <c r="AC78" s="116">
        <v>0</v>
      </c>
    </row>
    <row r="79" spans="1:29" s="29" customFormat="1" ht="151.5" customHeight="1" x14ac:dyDescent="0.2">
      <c r="A79" s="173"/>
      <c r="B79" s="94" t="s">
        <v>189</v>
      </c>
      <c r="C79" s="117">
        <v>4400</v>
      </c>
      <c r="D79" s="111">
        <v>0</v>
      </c>
      <c r="E79" s="111">
        <v>0</v>
      </c>
      <c r="F79" s="111">
        <v>0</v>
      </c>
      <c r="G79" s="111">
        <v>0</v>
      </c>
      <c r="H79" s="136"/>
      <c r="I79" s="111">
        <v>0</v>
      </c>
      <c r="J79" s="111">
        <v>0</v>
      </c>
      <c r="K79" s="130">
        <v>0</v>
      </c>
      <c r="L79" s="130">
        <v>0</v>
      </c>
      <c r="M79" s="130">
        <v>0</v>
      </c>
      <c r="N79" s="130">
        <v>18465.72</v>
      </c>
      <c r="O79" s="130">
        <v>18465.72</v>
      </c>
      <c r="P79" s="136"/>
      <c r="Q79" s="111">
        <v>0</v>
      </c>
      <c r="R79" s="111">
        <v>0</v>
      </c>
      <c r="S79" s="130">
        <v>0</v>
      </c>
      <c r="T79" s="130">
        <v>0</v>
      </c>
      <c r="U79" s="130">
        <v>36960</v>
      </c>
      <c r="V79" s="136"/>
      <c r="W79" s="111">
        <v>0</v>
      </c>
      <c r="X79" s="130">
        <v>0</v>
      </c>
      <c r="Y79" s="130">
        <v>0</v>
      </c>
      <c r="Z79" s="136"/>
      <c r="AA79" s="111">
        <v>0</v>
      </c>
      <c r="AB79" s="111">
        <v>0</v>
      </c>
      <c r="AC79" s="118">
        <v>0</v>
      </c>
    </row>
    <row r="80" spans="1:29" s="29" customFormat="1" ht="343.5" customHeight="1" x14ac:dyDescent="0.2">
      <c r="A80" s="172" t="s">
        <v>79</v>
      </c>
      <c r="B80" s="97" t="s">
        <v>190</v>
      </c>
      <c r="C80" s="98">
        <v>4400</v>
      </c>
      <c r="D80" s="99">
        <v>0</v>
      </c>
      <c r="E80" s="99">
        <v>0</v>
      </c>
      <c r="F80" s="99">
        <v>0</v>
      </c>
      <c r="G80" s="99">
        <v>0</v>
      </c>
      <c r="H80" s="140"/>
      <c r="I80" s="99">
        <v>16001</v>
      </c>
      <c r="J80" s="99">
        <v>16001</v>
      </c>
      <c r="K80" s="131">
        <v>16001</v>
      </c>
      <c r="L80" s="131">
        <v>10265</v>
      </c>
      <c r="M80" s="131">
        <v>10265</v>
      </c>
      <c r="N80" s="131">
        <v>10265</v>
      </c>
      <c r="O80" s="131">
        <v>10265</v>
      </c>
      <c r="P80" s="140"/>
      <c r="Q80" s="99">
        <v>0</v>
      </c>
      <c r="R80" s="99">
        <v>0</v>
      </c>
      <c r="S80" s="131">
        <v>0</v>
      </c>
      <c r="T80" s="131">
        <v>0</v>
      </c>
      <c r="U80" s="131">
        <v>5000</v>
      </c>
      <c r="V80" s="140"/>
      <c r="W80" s="99">
        <v>0</v>
      </c>
      <c r="X80" s="131">
        <v>0</v>
      </c>
      <c r="Y80" s="131">
        <v>5000</v>
      </c>
      <c r="Z80" s="140"/>
      <c r="AA80" s="99">
        <v>0</v>
      </c>
      <c r="AB80" s="131">
        <v>0</v>
      </c>
      <c r="AC80" s="142">
        <v>5000</v>
      </c>
    </row>
    <row r="81" spans="1:29" s="29" customFormat="1" ht="177.75" customHeight="1" x14ac:dyDescent="0.2">
      <c r="A81" s="180"/>
      <c r="B81" s="109" t="s">
        <v>154</v>
      </c>
      <c r="C81" s="110">
        <v>4300</v>
      </c>
      <c r="D81" s="111">
        <v>0</v>
      </c>
      <c r="E81" s="111"/>
      <c r="F81" s="111">
        <v>0</v>
      </c>
      <c r="G81" s="111">
        <v>0</v>
      </c>
      <c r="H81" s="136"/>
      <c r="I81" s="111">
        <v>0</v>
      </c>
      <c r="J81" s="111">
        <v>0</v>
      </c>
      <c r="K81" s="130">
        <v>0</v>
      </c>
      <c r="L81" s="130">
        <v>5736</v>
      </c>
      <c r="M81" s="130">
        <v>5736</v>
      </c>
      <c r="N81" s="130">
        <f>796+140+1600</f>
        <v>2536</v>
      </c>
      <c r="O81" s="130">
        <f>796+140+1600</f>
        <v>2536</v>
      </c>
      <c r="P81" s="136"/>
      <c r="Q81" s="111">
        <v>5736</v>
      </c>
      <c r="R81" s="111">
        <v>5736</v>
      </c>
      <c r="S81" s="130">
        <v>5736</v>
      </c>
      <c r="T81" s="130">
        <v>5736</v>
      </c>
      <c r="U81" s="130">
        <v>5736</v>
      </c>
      <c r="V81" s="136"/>
      <c r="W81" s="111">
        <v>5736</v>
      </c>
      <c r="X81" s="130">
        <v>5736</v>
      </c>
      <c r="Y81" s="130">
        <v>5736</v>
      </c>
      <c r="Z81" s="136"/>
      <c r="AA81" s="111">
        <v>5736</v>
      </c>
      <c r="AB81" s="130">
        <v>5736</v>
      </c>
      <c r="AC81" s="107">
        <v>5736</v>
      </c>
    </row>
    <row r="82" spans="1:29" s="29" customFormat="1" ht="79.5" customHeight="1" x14ac:dyDescent="0.2">
      <c r="A82" s="173"/>
      <c r="B82" s="123" t="s">
        <v>147</v>
      </c>
      <c r="C82" s="95">
        <v>4400</v>
      </c>
      <c r="D82" s="96"/>
      <c r="E82" s="96"/>
      <c r="F82" s="96">
        <v>0</v>
      </c>
      <c r="G82" s="96">
        <v>0</v>
      </c>
      <c r="H82" s="137"/>
      <c r="I82" s="96"/>
      <c r="J82" s="96"/>
      <c r="K82" s="132"/>
      <c r="L82" s="132"/>
      <c r="M82" s="132">
        <v>0</v>
      </c>
      <c r="N82" s="132">
        <v>3657</v>
      </c>
      <c r="O82" s="132">
        <v>3657</v>
      </c>
      <c r="P82" s="137"/>
      <c r="Q82" s="96"/>
      <c r="R82" s="96"/>
      <c r="S82" s="132">
        <v>0</v>
      </c>
      <c r="T82" s="132">
        <v>0</v>
      </c>
      <c r="U82" s="132">
        <v>0</v>
      </c>
      <c r="V82" s="137"/>
      <c r="W82" s="96">
        <v>0</v>
      </c>
      <c r="X82" s="132">
        <v>0</v>
      </c>
      <c r="Y82" s="132">
        <v>0</v>
      </c>
      <c r="Z82" s="137"/>
      <c r="AA82" s="96">
        <v>0</v>
      </c>
      <c r="AB82" s="132">
        <v>0</v>
      </c>
      <c r="AC82" s="104">
        <v>0</v>
      </c>
    </row>
    <row r="83" spans="1:29" s="29" customFormat="1" ht="60.75" customHeight="1" x14ac:dyDescent="0.2">
      <c r="A83" s="44" t="s">
        <v>79</v>
      </c>
      <c r="B83" s="3" t="s">
        <v>80</v>
      </c>
      <c r="C83" s="39">
        <v>4300</v>
      </c>
      <c r="D83" s="43">
        <v>0</v>
      </c>
      <c r="E83" s="43">
        <v>0</v>
      </c>
      <c r="F83" s="43">
        <v>0</v>
      </c>
      <c r="G83" s="43">
        <v>0</v>
      </c>
      <c r="H83" s="32"/>
      <c r="I83" s="43">
        <v>3000</v>
      </c>
      <c r="J83" s="43">
        <v>3000</v>
      </c>
      <c r="K83" s="43">
        <v>3000</v>
      </c>
      <c r="L83" s="43">
        <v>3000</v>
      </c>
      <c r="M83" s="43">
        <v>3000</v>
      </c>
      <c r="N83" s="43">
        <v>3000</v>
      </c>
      <c r="O83" s="43">
        <v>3000</v>
      </c>
      <c r="P83" s="32"/>
      <c r="Q83" s="43">
        <v>3000</v>
      </c>
      <c r="R83" s="43">
        <v>3000</v>
      </c>
      <c r="S83" s="43">
        <v>3000</v>
      </c>
      <c r="T83" s="43">
        <v>3000</v>
      </c>
      <c r="U83" s="43">
        <v>3000</v>
      </c>
      <c r="V83" s="32"/>
      <c r="W83" s="43">
        <v>3000</v>
      </c>
      <c r="X83" s="43">
        <v>3000</v>
      </c>
      <c r="Y83" s="43">
        <v>3000</v>
      </c>
      <c r="Z83" s="32"/>
      <c r="AA83" s="43">
        <v>3000</v>
      </c>
      <c r="AB83" s="43">
        <v>3000</v>
      </c>
      <c r="AC83" s="77">
        <v>3000</v>
      </c>
    </row>
    <row r="84" spans="1:29" s="29" customFormat="1" ht="108" customHeight="1" x14ac:dyDescent="0.2">
      <c r="A84" s="44" t="s">
        <v>47</v>
      </c>
      <c r="B84" s="3" t="s">
        <v>155</v>
      </c>
      <c r="C84" s="39">
        <v>4300</v>
      </c>
      <c r="D84" s="43">
        <v>0</v>
      </c>
      <c r="E84" s="43">
        <v>0</v>
      </c>
      <c r="F84" s="43">
        <v>0</v>
      </c>
      <c r="G84" s="43">
        <v>0</v>
      </c>
      <c r="H84" s="32"/>
      <c r="I84" s="43">
        <v>5965</v>
      </c>
      <c r="J84" s="43">
        <v>5965</v>
      </c>
      <c r="K84" s="43">
        <v>5965</v>
      </c>
      <c r="L84" s="5">
        <f>5965.9</f>
        <v>5965.9</v>
      </c>
      <c r="M84" s="5">
        <f>5965.9</f>
        <v>5965.9</v>
      </c>
      <c r="N84" s="5">
        <f>5965.9+8000+2000</f>
        <v>15965.9</v>
      </c>
      <c r="O84" s="5">
        <f>5965.9+8000+2000</f>
        <v>15965.9</v>
      </c>
      <c r="P84" s="32"/>
      <c r="Q84" s="43">
        <v>5705</v>
      </c>
      <c r="R84" s="43">
        <v>5705</v>
      </c>
      <c r="S84" s="43">
        <v>5705</v>
      </c>
      <c r="T84" s="43">
        <v>5705</v>
      </c>
      <c r="U84" s="5">
        <f>5705-2160.18</f>
        <v>3544.82</v>
      </c>
      <c r="V84" s="32"/>
      <c r="W84" s="43">
        <v>5102</v>
      </c>
      <c r="X84" s="43">
        <v>5102</v>
      </c>
      <c r="Y84" s="5">
        <v>5102</v>
      </c>
      <c r="Z84" s="32"/>
      <c r="AA84" s="43">
        <v>7591</v>
      </c>
      <c r="AB84" s="5">
        <f>7591+2748</f>
        <v>10339</v>
      </c>
      <c r="AC84" s="75">
        <f>5000-11</f>
        <v>4989</v>
      </c>
    </row>
    <row r="85" spans="1:29" s="29" customFormat="1" ht="303" customHeight="1" x14ac:dyDescent="0.2">
      <c r="A85" s="44" t="s">
        <v>79</v>
      </c>
      <c r="B85" s="3" t="s">
        <v>191</v>
      </c>
      <c r="C85" s="39">
        <v>4400</v>
      </c>
      <c r="D85" s="43">
        <v>0</v>
      </c>
      <c r="E85" s="43">
        <v>0</v>
      </c>
      <c r="F85" s="43">
        <v>0</v>
      </c>
      <c r="G85" s="43">
        <v>0</v>
      </c>
      <c r="H85" s="32"/>
      <c r="I85" s="43">
        <v>68000</v>
      </c>
      <c r="J85" s="43">
        <v>68000</v>
      </c>
      <c r="K85" s="43">
        <v>68000</v>
      </c>
      <c r="L85" s="5">
        <f>63792+8590+4635+3557</f>
        <v>80574</v>
      </c>
      <c r="M85" s="5">
        <f>63792+8590+4635+3557</f>
        <v>80574</v>
      </c>
      <c r="N85" s="5">
        <f>63792+8590+4635+4000+6549.85+12000+15426.28</f>
        <v>114993.13</v>
      </c>
      <c r="O85" s="5">
        <f>63792+8590+4635+4000+6549.85+12000+15426.28</f>
        <v>114993.13</v>
      </c>
      <c r="P85" s="32"/>
      <c r="Q85" s="43">
        <v>0</v>
      </c>
      <c r="R85" s="43">
        <v>0</v>
      </c>
      <c r="S85" s="43">
        <v>0</v>
      </c>
      <c r="T85" s="43">
        <v>0</v>
      </c>
      <c r="U85" s="5">
        <v>6000</v>
      </c>
      <c r="V85" s="32"/>
      <c r="W85" s="43">
        <v>0</v>
      </c>
      <c r="X85" s="43">
        <v>0</v>
      </c>
      <c r="Y85" s="43">
        <v>0</v>
      </c>
      <c r="Z85" s="32"/>
      <c r="AA85" s="43">
        <v>0</v>
      </c>
      <c r="AB85" s="43">
        <v>0</v>
      </c>
      <c r="AC85" s="75">
        <v>0</v>
      </c>
    </row>
    <row r="86" spans="1:29" s="29" customFormat="1" ht="246" customHeight="1" x14ac:dyDescent="0.2">
      <c r="A86" s="30" t="s">
        <v>38</v>
      </c>
      <c r="B86" s="74" t="s">
        <v>192</v>
      </c>
      <c r="C86" s="31">
        <v>4300</v>
      </c>
      <c r="D86" s="46">
        <v>0</v>
      </c>
      <c r="E86" s="46">
        <v>0</v>
      </c>
      <c r="F86" s="46">
        <v>0</v>
      </c>
      <c r="G86" s="46">
        <v>0</v>
      </c>
      <c r="H86" s="47"/>
      <c r="I86" s="46">
        <v>0</v>
      </c>
      <c r="J86" s="48">
        <v>0</v>
      </c>
      <c r="K86" s="48">
        <v>0</v>
      </c>
      <c r="L86" s="48">
        <v>8568</v>
      </c>
      <c r="M86" s="48">
        <v>8568</v>
      </c>
      <c r="N86" s="48">
        <f>8568+22200-5000+212</f>
        <v>25980</v>
      </c>
      <c r="O86" s="48">
        <f>8568+22200-5000+212</f>
        <v>25980</v>
      </c>
      <c r="P86" s="47"/>
      <c r="Q86" s="46">
        <v>0</v>
      </c>
      <c r="R86" s="48">
        <v>0</v>
      </c>
      <c r="S86" s="48">
        <v>0</v>
      </c>
      <c r="T86" s="48">
        <f>22200+25160</f>
        <v>47360</v>
      </c>
      <c r="U86" s="48">
        <f>22200+25160+4440+22200</f>
        <v>74000</v>
      </c>
      <c r="V86" s="47"/>
      <c r="W86" s="46">
        <v>0</v>
      </c>
      <c r="X86" s="46">
        <v>0</v>
      </c>
      <c r="Y86" s="48">
        <f>22200+25160+4440+22200</f>
        <v>74000</v>
      </c>
      <c r="Z86" s="47"/>
      <c r="AA86" s="46">
        <v>0</v>
      </c>
      <c r="AB86" s="46">
        <v>0</v>
      </c>
      <c r="AC86" s="146">
        <f>22200+25160+4440+22200</f>
        <v>74000</v>
      </c>
    </row>
    <row r="87" spans="1:29" s="29" customFormat="1" ht="38.25" customHeight="1" x14ac:dyDescent="0.2">
      <c r="A87" s="33" t="s">
        <v>126</v>
      </c>
      <c r="B87" s="40" t="s">
        <v>127</v>
      </c>
      <c r="C87" s="31">
        <v>4300</v>
      </c>
      <c r="D87" s="43">
        <v>0</v>
      </c>
      <c r="E87" s="43">
        <v>0</v>
      </c>
      <c r="F87" s="43">
        <v>0</v>
      </c>
      <c r="G87" s="43">
        <v>0</v>
      </c>
      <c r="H87" s="32"/>
      <c r="I87" s="43">
        <v>0</v>
      </c>
      <c r="J87" s="43">
        <v>0</v>
      </c>
      <c r="K87" s="43">
        <v>0</v>
      </c>
      <c r="L87" s="5">
        <v>37454</v>
      </c>
      <c r="M87" s="5">
        <v>0</v>
      </c>
      <c r="N87" s="5">
        <v>0</v>
      </c>
      <c r="O87" s="5">
        <v>0</v>
      </c>
      <c r="P87" s="32"/>
      <c r="Q87" s="43"/>
      <c r="R87" s="43">
        <v>0</v>
      </c>
      <c r="S87" s="43">
        <v>0</v>
      </c>
      <c r="T87" s="43">
        <v>0</v>
      </c>
      <c r="U87" s="43">
        <v>0</v>
      </c>
      <c r="V87" s="32"/>
      <c r="W87" s="43">
        <v>0</v>
      </c>
      <c r="X87" s="43">
        <v>0</v>
      </c>
      <c r="Y87" s="43">
        <v>0</v>
      </c>
      <c r="Z87" s="32"/>
      <c r="AA87" s="43">
        <v>0</v>
      </c>
      <c r="AB87" s="43">
        <v>0</v>
      </c>
      <c r="AC87" s="77">
        <v>0</v>
      </c>
    </row>
    <row r="88" spans="1:29" s="29" customFormat="1" ht="15.75" x14ac:dyDescent="0.25">
      <c r="A88" s="41"/>
      <c r="B88" s="36" t="s">
        <v>81</v>
      </c>
      <c r="C88" s="37" t="s">
        <v>82</v>
      </c>
      <c r="D88" s="38">
        <f>SUM(D70:D87)</f>
        <v>1000</v>
      </c>
      <c r="E88" s="38">
        <f t="shared" ref="E88:AC88" si="17">SUM(E70:E87)</f>
        <v>1000</v>
      </c>
      <c r="F88" s="38">
        <f t="shared" si="17"/>
        <v>534</v>
      </c>
      <c r="G88" s="38">
        <f t="shared" si="17"/>
        <v>0</v>
      </c>
      <c r="H88" s="38"/>
      <c r="I88" s="38">
        <f t="shared" si="17"/>
        <v>235666</v>
      </c>
      <c r="J88" s="38">
        <f t="shared" si="17"/>
        <v>235666</v>
      </c>
      <c r="K88" s="38">
        <f t="shared" si="17"/>
        <v>231908</v>
      </c>
      <c r="L88" s="38">
        <f t="shared" si="17"/>
        <v>302859.90000000002</v>
      </c>
      <c r="M88" s="38">
        <f t="shared" si="17"/>
        <v>302859.90000000002</v>
      </c>
      <c r="N88" s="38">
        <f t="shared" si="17"/>
        <v>337748.75</v>
      </c>
      <c r="O88" s="38">
        <f t="shared" si="17"/>
        <v>337748.75</v>
      </c>
      <c r="P88" s="38"/>
      <c r="Q88" s="38">
        <f t="shared" si="17"/>
        <v>172741</v>
      </c>
      <c r="R88" s="38">
        <f t="shared" si="17"/>
        <v>172741</v>
      </c>
      <c r="S88" s="38">
        <f t="shared" si="17"/>
        <v>158241</v>
      </c>
      <c r="T88" s="38">
        <f t="shared" si="17"/>
        <v>180623</v>
      </c>
      <c r="U88" s="38">
        <f t="shared" si="17"/>
        <v>242040.82</v>
      </c>
      <c r="V88" s="38"/>
      <c r="W88" s="38">
        <f t="shared" si="17"/>
        <v>47338</v>
      </c>
      <c r="X88" s="38">
        <f t="shared" si="17"/>
        <v>36306</v>
      </c>
      <c r="Y88" s="38">
        <f t="shared" si="17"/>
        <v>117128.4</v>
      </c>
      <c r="Z88" s="38"/>
      <c r="AA88" s="38">
        <f t="shared" si="17"/>
        <v>25327</v>
      </c>
      <c r="AB88" s="38">
        <f t="shared" si="17"/>
        <v>28075</v>
      </c>
      <c r="AC88" s="141">
        <f t="shared" si="17"/>
        <v>111725</v>
      </c>
    </row>
    <row r="89" spans="1:29" s="29" customFormat="1" ht="67.5" customHeight="1" x14ac:dyDescent="0.2">
      <c r="A89" s="44" t="s">
        <v>83</v>
      </c>
      <c r="B89" s="3" t="s">
        <v>84</v>
      </c>
      <c r="C89" s="39">
        <v>5800</v>
      </c>
      <c r="D89" s="43">
        <v>0</v>
      </c>
      <c r="E89" s="43">
        <v>0</v>
      </c>
      <c r="F89" s="5">
        <f>25000+13870</f>
        <v>38870</v>
      </c>
      <c r="G89" s="5">
        <f>25000+13870</f>
        <v>38870</v>
      </c>
      <c r="H89" s="32"/>
      <c r="I89" s="43">
        <v>300000</v>
      </c>
      <c r="J89" s="43">
        <v>300000</v>
      </c>
      <c r="K89" s="5">
        <v>223215</v>
      </c>
      <c r="L89" s="5">
        <v>223215</v>
      </c>
      <c r="M89" s="5">
        <v>223215</v>
      </c>
      <c r="N89" s="5">
        <v>223215</v>
      </c>
      <c r="O89" s="5">
        <v>223215</v>
      </c>
      <c r="P89" s="32"/>
      <c r="Q89" s="43">
        <v>300000</v>
      </c>
      <c r="R89" s="43">
        <v>300000</v>
      </c>
      <c r="S89" s="5">
        <v>223215</v>
      </c>
      <c r="T89" s="5">
        <v>223215</v>
      </c>
      <c r="U89" s="5">
        <v>223215</v>
      </c>
      <c r="V89" s="32"/>
      <c r="W89" s="43">
        <v>300000</v>
      </c>
      <c r="X89" s="5">
        <v>223215</v>
      </c>
      <c r="Y89" s="5">
        <v>223215</v>
      </c>
      <c r="Z89" s="32"/>
      <c r="AA89" s="43">
        <v>300000</v>
      </c>
      <c r="AB89" s="5">
        <v>223215</v>
      </c>
      <c r="AC89" s="75">
        <v>223215</v>
      </c>
    </row>
    <row r="90" spans="1:29" s="29" customFormat="1" ht="84" customHeight="1" x14ac:dyDescent="0.2">
      <c r="A90" s="44" t="s">
        <v>85</v>
      </c>
      <c r="B90" s="3" t="s">
        <v>86</v>
      </c>
      <c r="C90" s="39">
        <v>5800</v>
      </c>
      <c r="D90" s="43">
        <v>0</v>
      </c>
      <c r="E90" s="43">
        <v>0</v>
      </c>
      <c r="F90" s="43">
        <v>0</v>
      </c>
      <c r="G90" s="43">
        <v>0</v>
      </c>
      <c r="H90" s="32"/>
      <c r="I90" s="43">
        <v>25000</v>
      </c>
      <c r="J90" s="43">
        <v>25000</v>
      </c>
      <c r="K90" s="43">
        <v>25000</v>
      </c>
      <c r="L90" s="43">
        <v>25000</v>
      </c>
      <c r="M90" s="43">
        <v>25000</v>
      </c>
      <c r="N90" s="43">
        <v>25000</v>
      </c>
      <c r="O90" s="43">
        <v>25000</v>
      </c>
      <c r="P90" s="32"/>
      <c r="Q90" s="43">
        <v>25000</v>
      </c>
      <c r="R90" s="43">
        <v>25000</v>
      </c>
      <c r="S90" s="43">
        <v>25000</v>
      </c>
      <c r="T90" s="43">
        <v>25000</v>
      </c>
      <c r="U90" s="43">
        <v>25000</v>
      </c>
      <c r="V90" s="32"/>
      <c r="W90" s="43">
        <v>25000</v>
      </c>
      <c r="X90" s="43">
        <v>25000</v>
      </c>
      <c r="Y90" s="43">
        <v>25000</v>
      </c>
      <c r="Z90" s="32"/>
      <c r="AA90" s="43">
        <v>25000</v>
      </c>
      <c r="AB90" s="43">
        <v>25000</v>
      </c>
      <c r="AC90" s="77">
        <v>25000</v>
      </c>
    </row>
    <row r="91" spans="1:29" s="29" customFormat="1" ht="136.5" customHeight="1" x14ac:dyDescent="0.2">
      <c r="A91" s="34" t="s">
        <v>39</v>
      </c>
      <c r="B91" s="45" t="s">
        <v>156</v>
      </c>
      <c r="C91" s="31">
        <v>5200</v>
      </c>
      <c r="D91" s="46">
        <v>0</v>
      </c>
      <c r="E91" s="46">
        <v>0</v>
      </c>
      <c r="F91" s="46">
        <v>0</v>
      </c>
      <c r="G91" s="46">
        <v>0</v>
      </c>
      <c r="H91" s="47"/>
      <c r="I91" s="46">
        <v>4200</v>
      </c>
      <c r="J91" s="46">
        <v>4200</v>
      </c>
      <c r="K91" s="46">
        <v>4200</v>
      </c>
      <c r="L91" s="46">
        <v>4200</v>
      </c>
      <c r="M91" s="46">
        <v>4200</v>
      </c>
      <c r="N91" s="46">
        <v>4200</v>
      </c>
      <c r="O91" s="46">
        <v>4200</v>
      </c>
      <c r="P91" s="47"/>
      <c r="Q91" s="46">
        <v>4200</v>
      </c>
      <c r="R91" s="46">
        <v>4200</v>
      </c>
      <c r="S91" s="46">
        <v>4200</v>
      </c>
      <c r="T91" s="46">
        <v>4200</v>
      </c>
      <c r="U91" s="46">
        <v>4200</v>
      </c>
      <c r="V91" s="47"/>
      <c r="W91" s="46">
        <v>4200</v>
      </c>
      <c r="X91" s="46">
        <v>4200</v>
      </c>
      <c r="Y91" s="46">
        <v>4200</v>
      </c>
      <c r="Z91" s="47"/>
      <c r="AA91" s="46">
        <v>4200</v>
      </c>
      <c r="AB91" s="46">
        <v>4200</v>
      </c>
      <c r="AC91" s="78">
        <v>4200</v>
      </c>
    </row>
    <row r="92" spans="1:29" s="29" customFormat="1" ht="73.5" customHeight="1" x14ac:dyDescent="0.2">
      <c r="A92" s="34" t="s">
        <v>39</v>
      </c>
      <c r="B92" s="45" t="s">
        <v>87</v>
      </c>
      <c r="C92" s="31">
        <v>5800</v>
      </c>
      <c r="D92" s="46">
        <v>0</v>
      </c>
      <c r="E92" s="48">
        <v>25000</v>
      </c>
      <c r="F92" s="48">
        <v>25000</v>
      </c>
      <c r="G92" s="48">
        <v>24500</v>
      </c>
      <c r="H92" s="47"/>
      <c r="I92" s="46">
        <v>25000</v>
      </c>
      <c r="J92" s="48">
        <v>0</v>
      </c>
      <c r="K92" s="48">
        <v>0</v>
      </c>
      <c r="L92" s="48">
        <v>0</v>
      </c>
      <c r="M92" s="48">
        <v>0</v>
      </c>
      <c r="N92" s="48">
        <v>0</v>
      </c>
      <c r="O92" s="48">
        <v>0</v>
      </c>
      <c r="P92" s="47"/>
      <c r="Q92" s="46">
        <v>0</v>
      </c>
      <c r="R92" s="46">
        <v>0</v>
      </c>
      <c r="S92" s="46">
        <v>0</v>
      </c>
      <c r="T92" s="46">
        <v>0</v>
      </c>
      <c r="U92" s="46">
        <v>0</v>
      </c>
      <c r="V92" s="47"/>
      <c r="W92" s="46">
        <v>0</v>
      </c>
      <c r="X92" s="46">
        <v>0</v>
      </c>
      <c r="Y92" s="46">
        <v>0</v>
      </c>
      <c r="Z92" s="47"/>
      <c r="AA92" s="46">
        <v>0</v>
      </c>
      <c r="AB92" s="46">
        <v>0</v>
      </c>
      <c r="AC92" s="78">
        <v>0</v>
      </c>
    </row>
    <row r="93" spans="1:29" s="29" customFormat="1" ht="52.5" customHeight="1" x14ac:dyDescent="0.2">
      <c r="A93" s="34" t="s">
        <v>39</v>
      </c>
      <c r="B93" s="45" t="s">
        <v>88</v>
      </c>
      <c r="C93" s="31">
        <v>5800</v>
      </c>
      <c r="D93" s="46">
        <v>0</v>
      </c>
      <c r="E93" s="46">
        <v>0</v>
      </c>
      <c r="F93" s="46">
        <v>0</v>
      </c>
      <c r="G93" s="46">
        <v>0</v>
      </c>
      <c r="H93" s="47"/>
      <c r="I93" s="46">
        <v>0</v>
      </c>
      <c r="J93" s="48">
        <v>25000</v>
      </c>
      <c r="K93" s="48">
        <v>11000</v>
      </c>
      <c r="L93" s="48">
        <v>11000</v>
      </c>
      <c r="M93" s="48">
        <v>11000</v>
      </c>
      <c r="N93" s="48">
        <v>11750</v>
      </c>
      <c r="O93" s="48">
        <v>11750</v>
      </c>
      <c r="P93" s="47"/>
      <c r="Q93" s="46">
        <v>25000</v>
      </c>
      <c r="R93" s="48">
        <v>0</v>
      </c>
      <c r="S93" s="48">
        <v>0</v>
      </c>
      <c r="T93" s="48">
        <v>0</v>
      </c>
      <c r="U93" s="48">
        <v>0</v>
      </c>
      <c r="V93" s="47"/>
      <c r="W93" s="46">
        <v>0</v>
      </c>
      <c r="X93" s="46">
        <v>0</v>
      </c>
      <c r="Y93" s="46">
        <v>0</v>
      </c>
      <c r="Z93" s="47"/>
      <c r="AA93" s="46">
        <v>0</v>
      </c>
      <c r="AB93" s="46">
        <v>0</v>
      </c>
      <c r="AC93" s="78">
        <v>0</v>
      </c>
    </row>
    <row r="94" spans="1:29" s="29" customFormat="1" ht="132" customHeight="1" x14ac:dyDescent="0.2">
      <c r="A94" s="34" t="s">
        <v>39</v>
      </c>
      <c r="B94" s="74" t="s">
        <v>157</v>
      </c>
      <c r="C94" s="31">
        <v>5200</v>
      </c>
      <c r="D94" s="46">
        <v>0</v>
      </c>
      <c r="E94" s="46">
        <v>0</v>
      </c>
      <c r="F94" s="46">
        <v>0</v>
      </c>
      <c r="G94" s="46">
        <v>0</v>
      </c>
      <c r="H94" s="47"/>
      <c r="I94" s="46">
        <v>0</v>
      </c>
      <c r="J94" s="48">
        <v>0</v>
      </c>
      <c r="K94" s="48">
        <v>0</v>
      </c>
      <c r="L94" s="48">
        <v>0</v>
      </c>
      <c r="M94" s="48">
        <v>0</v>
      </c>
      <c r="N94" s="48">
        <v>20494</v>
      </c>
      <c r="O94" s="48">
        <f>20494-3180</f>
        <v>17314</v>
      </c>
      <c r="P94" s="47"/>
      <c r="Q94" s="46">
        <v>0</v>
      </c>
      <c r="R94" s="48">
        <v>25000</v>
      </c>
      <c r="S94" s="48">
        <v>20494</v>
      </c>
      <c r="T94" s="48">
        <v>20494</v>
      </c>
      <c r="U94" s="48">
        <v>20494</v>
      </c>
      <c r="V94" s="47"/>
      <c r="W94" s="46">
        <v>0</v>
      </c>
      <c r="X94" s="46">
        <v>0</v>
      </c>
      <c r="Y94" s="46">
        <v>0</v>
      </c>
      <c r="Z94" s="47"/>
      <c r="AA94" s="46">
        <v>0</v>
      </c>
      <c r="AB94" s="46">
        <v>0</v>
      </c>
      <c r="AC94" s="78">
        <v>0</v>
      </c>
    </row>
    <row r="95" spans="1:29" s="29" customFormat="1" ht="130.5" customHeight="1" x14ac:dyDescent="0.2">
      <c r="A95" s="30" t="s">
        <v>38</v>
      </c>
      <c r="B95" s="74" t="s">
        <v>158</v>
      </c>
      <c r="C95" s="31">
        <v>5100</v>
      </c>
      <c r="D95" s="46"/>
      <c r="E95" s="46"/>
      <c r="F95" s="46">
        <v>0</v>
      </c>
      <c r="G95" s="46">
        <v>0</v>
      </c>
      <c r="H95" s="47"/>
      <c r="I95" s="46"/>
      <c r="J95" s="48"/>
      <c r="K95" s="48"/>
      <c r="L95" s="48"/>
      <c r="M95" s="48">
        <v>0</v>
      </c>
      <c r="N95" s="48">
        <v>5000</v>
      </c>
      <c r="O95" s="48">
        <v>5000</v>
      </c>
      <c r="P95" s="47"/>
      <c r="Q95" s="46"/>
      <c r="R95" s="48"/>
      <c r="S95" s="48">
        <v>0</v>
      </c>
      <c r="T95" s="48">
        <v>0</v>
      </c>
      <c r="U95" s="48">
        <v>0</v>
      </c>
      <c r="V95" s="47"/>
      <c r="W95" s="46">
        <v>0</v>
      </c>
      <c r="X95" s="46">
        <v>0</v>
      </c>
      <c r="Y95" s="46">
        <v>0</v>
      </c>
      <c r="Z95" s="47"/>
      <c r="AA95" s="46">
        <v>0</v>
      </c>
      <c r="AB95" s="46">
        <v>0</v>
      </c>
      <c r="AC95" s="78">
        <v>0</v>
      </c>
    </row>
    <row r="96" spans="1:29" s="29" customFormat="1" ht="409.5" x14ac:dyDescent="0.2">
      <c r="A96" s="34" t="s">
        <v>39</v>
      </c>
      <c r="B96" s="114" t="s">
        <v>159</v>
      </c>
      <c r="C96" s="39">
        <v>5200</v>
      </c>
      <c r="D96" s="46">
        <f>4800+11600</f>
        <v>16400</v>
      </c>
      <c r="E96" s="46">
        <f>4800+11600</f>
        <v>16400</v>
      </c>
      <c r="F96" s="48">
        <f>(4*600)+(4*750)+(4*400)+(4*300)</f>
        <v>8200</v>
      </c>
      <c r="G96" s="48">
        <v>6854.4</v>
      </c>
      <c r="H96" s="47"/>
      <c r="I96" s="46">
        <f t="shared" ref="I96:M96" si="18">4800+11600+4800+2040+539</f>
        <v>23779</v>
      </c>
      <c r="J96" s="46">
        <f t="shared" si="18"/>
        <v>23779</v>
      </c>
      <c r="K96" s="46">
        <f t="shared" si="18"/>
        <v>23779</v>
      </c>
      <c r="L96" s="46">
        <f t="shared" si="18"/>
        <v>23779</v>
      </c>
      <c r="M96" s="46">
        <f t="shared" si="18"/>
        <v>23779</v>
      </c>
      <c r="N96" s="48">
        <v>1126</v>
      </c>
      <c r="O96" s="48">
        <f>1126+3180</f>
        <v>4306</v>
      </c>
      <c r="P96" s="47"/>
      <c r="Q96" s="46">
        <f>4800+11600+4800+2040+539</f>
        <v>23779</v>
      </c>
      <c r="R96" s="46">
        <f>4800+11600+4800+2040+539</f>
        <v>23779</v>
      </c>
      <c r="S96" s="48">
        <f>2400+5800+4800+2040+539</f>
        <v>15579</v>
      </c>
      <c r="T96" s="48">
        <f>2400+5800+4800+2040+539</f>
        <v>15579</v>
      </c>
      <c r="U96" s="48">
        <f>2400+5800+4800+2040+539</f>
        <v>15579</v>
      </c>
      <c r="V96" s="47"/>
      <c r="W96" s="46">
        <f>4800+11600+4800+2040+539</f>
        <v>23779</v>
      </c>
      <c r="X96" s="48">
        <f>2400+5800+4800+2040+539</f>
        <v>15579</v>
      </c>
      <c r="Y96" s="48">
        <v>12000</v>
      </c>
      <c r="Z96" s="47"/>
      <c r="AA96" s="46">
        <f>4800+11600+4800+2040+539</f>
        <v>23779</v>
      </c>
      <c r="AB96" s="48">
        <f>2400+5800+4800+2040+539</f>
        <v>15579</v>
      </c>
      <c r="AC96" s="147">
        <f>12000-4504</f>
        <v>7496</v>
      </c>
    </row>
    <row r="97" spans="1:29" s="29" customFormat="1" ht="15.75" x14ac:dyDescent="0.25">
      <c r="A97" s="41"/>
      <c r="B97" s="36" t="s">
        <v>89</v>
      </c>
      <c r="C97" s="37" t="s">
        <v>90</v>
      </c>
      <c r="D97" s="38">
        <f>SUM(D89:D96)</f>
        <v>16400</v>
      </c>
      <c r="E97" s="38">
        <f>SUM(E89:E96)</f>
        <v>41400</v>
      </c>
      <c r="F97" s="38">
        <f>SUM(F89:F96)</f>
        <v>72070</v>
      </c>
      <c r="G97" s="38">
        <f>SUM(G89:G96)</f>
        <v>70224.399999999994</v>
      </c>
      <c r="H97" s="38"/>
      <c r="I97" s="38">
        <f t="shared" ref="I97:N97" si="19">SUM(I89:I96)</f>
        <v>377979</v>
      </c>
      <c r="J97" s="38">
        <f t="shared" si="19"/>
        <v>377979</v>
      </c>
      <c r="K97" s="38">
        <f t="shared" si="19"/>
        <v>287194</v>
      </c>
      <c r="L97" s="38">
        <f t="shared" si="19"/>
        <v>287194</v>
      </c>
      <c r="M97" s="38">
        <f t="shared" si="19"/>
        <v>287194</v>
      </c>
      <c r="N97" s="38">
        <f t="shared" si="19"/>
        <v>290785</v>
      </c>
      <c r="O97" s="38">
        <f t="shared" ref="O97" si="20">SUM(O89:O96)</f>
        <v>290785</v>
      </c>
      <c r="P97" s="38"/>
      <c r="Q97" s="38">
        <f>SUM(Q89:Q96)</f>
        <v>377979</v>
      </c>
      <c r="R97" s="38">
        <f>SUM(R89:R96)</f>
        <v>377979</v>
      </c>
      <c r="S97" s="38">
        <f>SUM(S89:S96)</f>
        <v>288488</v>
      </c>
      <c r="T97" s="38">
        <f>SUM(T89:T96)</f>
        <v>288488</v>
      </c>
      <c r="U97" s="38">
        <f>SUM(U89:U96)</f>
        <v>288488</v>
      </c>
      <c r="V97" s="38"/>
      <c r="W97" s="38">
        <f>SUM(W89:W96)</f>
        <v>352979</v>
      </c>
      <c r="X97" s="38">
        <f>SUM(X89:X96)</f>
        <v>267994</v>
      </c>
      <c r="Y97" s="38">
        <f>SUM(Y89:Y96)</f>
        <v>264415</v>
      </c>
      <c r="Z97" s="38"/>
      <c r="AA97" s="38">
        <f>SUM(AA89:AA96)</f>
        <v>352979</v>
      </c>
      <c r="AB97" s="38">
        <f>SUM(AB89:AB96)</f>
        <v>267994</v>
      </c>
      <c r="AC97" s="76">
        <f>SUM(AC89:AC96)</f>
        <v>259911</v>
      </c>
    </row>
    <row r="98" spans="1:29" s="53" customFormat="1" ht="15.75" x14ac:dyDescent="0.25">
      <c r="A98" s="49"/>
      <c r="B98" s="50"/>
      <c r="C98" s="51"/>
      <c r="D98" s="52"/>
      <c r="E98" s="52"/>
      <c r="F98" s="52"/>
      <c r="G98" s="52"/>
      <c r="H98" s="38"/>
      <c r="I98" s="52"/>
      <c r="J98" s="52"/>
      <c r="K98" s="52"/>
      <c r="L98" s="52"/>
      <c r="M98" s="52"/>
      <c r="N98" s="52"/>
      <c r="O98" s="52"/>
      <c r="P98" s="38"/>
      <c r="Q98" s="52"/>
      <c r="R98" s="52"/>
      <c r="S98" s="52"/>
      <c r="T98" s="52"/>
      <c r="U98" s="52"/>
      <c r="V98" s="38"/>
      <c r="W98" s="52"/>
      <c r="X98" s="52"/>
      <c r="Y98" s="52"/>
      <c r="Z98" s="38"/>
      <c r="AA98" s="52"/>
      <c r="AB98" s="52"/>
      <c r="AC98" s="79"/>
    </row>
    <row r="99" spans="1:29" s="53" customFormat="1" ht="15.75" x14ac:dyDescent="0.25">
      <c r="A99" s="49"/>
      <c r="B99" s="50"/>
      <c r="C99" s="51"/>
      <c r="D99" s="52"/>
      <c r="E99" s="52"/>
      <c r="F99" s="52"/>
      <c r="G99" s="52"/>
      <c r="H99" s="38"/>
      <c r="I99" s="52"/>
      <c r="J99" s="52"/>
      <c r="K99" s="52"/>
      <c r="L99" s="52"/>
      <c r="M99" s="52"/>
      <c r="N99" s="52"/>
      <c r="O99" s="52"/>
      <c r="P99" s="38"/>
      <c r="Q99" s="52"/>
      <c r="R99" s="52"/>
      <c r="S99" s="52"/>
      <c r="T99" s="52"/>
      <c r="U99" s="52"/>
      <c r="V99" s="38"/>
      <c r="W99" s="52"/>
      <c r="X99" s="52"/>
      <c r="Y99" s="52"/>
      <c r="Z99" s="38"/>
      <c r="AA99" s="52"/>
      <c r="AB99" s="52"/>
      <c r="AC99" s="79"/>
    </row>
    <row r="100" spans="1:29" s="29" customFormat="1" ht="15.75" x14ac:dyDescent="0.25">
      <c r="A100" s="41"/>
      <c r="B100" s="36" t="s">
        <v>91</v>
      </c>
      <c r="C100" s="37" t="s">
        <v>92</v>
      </c>
      <c r="D100" s="38">
        <f>SUM(D98:D99)</f>
        <v>0</v>
      </c>
      <c r="E100" s="38">
        <f>SUM(E98:E99)</f>
        <v>0</v>
      </c>
      <c r="F100" s="38">
        <f>SUM(F98:F99)</f>
        <v>0</v>
      </c>
      <c r="G100" s="38">
        <f>SUM(G98:G99)</f>
        <v>0</v>
      </c>
      <c r="H100" s="38"/>
      <c r="I100" s="38">
        <f t="shared" ref="I100:N100" si="21">SUM(I98:I99)</f>
        <v>0</v>
      </c>
      <c r="J100" s="38">
        <f t="shared" si="21"/>
        <v>0</v>
      </c>
      <c r="K100" s="38">
        <f t="shared" si="21"/>
        <v>0</v>
      </c>
      <c r="L100" s="38">
        <f t="shared" si="21"/>
        <v>0</v>
      </c>
      <c r="M100" s="38">
        <f t="shared" si="21"/>
        <v>0</v>
      </c>
      <c r="N100" s="38">
        <f t="shared" si="21"/>
        <v>0</v>
      </c>
      <c r="O100" s="38">
        <f t="shared" ref="O100" si="22">SUM(O98:O99)</f>
        <v>0</v>
      </c>
      <c r="P100" s="38"/>
      <c r="Q100" s="38">
        <f>SUM(Q98:Q99)</f>
        <v>0</v>
      </c>
      <c r="R100" s="38">
        <f>SUM(R98:R99)</f>
        <v>0</v>
      </c>
      <c r="S100" s="38">
        <f>SUM(S98:S99)</f>
        <v>0</v>
      </c>
      <c r="T100" s="38">
        <f>SUM(T98:T99)</f>
        <v>0</v>
      </c>
      <c r="U100" s="38">
        <f>SUM(U98:U99)</f>
        <v>0</v>
      </c>
      <c r="V100" s="38"/>
      <c r="W100" s="38">
        <f>SUM(W98:W99)</f>
        <v>0</v>
      </c>
      <c r="X100" s="38">
        <f>SUM(X98:X99)</f>
        <v>0</v>
      </c>
      <c r="Y100" s="38">
        <f>SUM(Y98:Y99)</f>
        <v>0</v>
      </c>
      <c r="Z100" s="38"/>
      <c r="AA100" s="38">
        <f>SUM(AA98:AA99)</f>
        <v>0</v>
      </c>
      <c r="AB100" s="38">
        <f>SUM(AB98:AB99)</f>
        <v>0</v>
      </c>
      <c r="AC100" s="76">
        <f>SUM(AC98:AC99)</f>
        <v>0</v>
      </c>
    </row>
    <row r="101" spans="1:29" s="53" customFormat="1" ht="15.75" x14ac:dyDescent="0.25">
      <c r="A101" s="49"/>
      <c r="B101" s="50"/>
      <c r="C101" s="51"/>
      <c r="D101" s="52"/>
      <c r="E101" s="52"/>
      <c r="F101" s="52"/>
      <c r="G101" s="52"/>
      <c r="H101" s="38"/>
      <c r="I101" s="52"/>
      <c r="J101" s="52"/>
      <c r="K101" s="52"/>
      <c r="L101" s="52"/>
      <c r="M101" s="52"/>
      <c r="N101" s="52"/>
      <c r="O101" s="52"/>
      <c r="P101" s="38"/>
      <c r="Q101" s="52"/>
      <c r="R101" s="52"/>
      <c r="S101" s="52"/>
      <c r="T101" s="52"/>
      <c r="U101" s="52"/>
      <c r="V101" s="38"/>
      <c r="W101" s="52"/>
      <c r="X101" s="52"/>
      <c r="Y101" s="52"/>
      <c r="Z101" s="38"/>
      <c r="AA101" s="52"/>
      <c r="AB101" s="52"/>
      <c r="AC101" s="79"/>
    </row>
    <row r="102" spans="1:29" s="29" customFormat="1" ht="15.75" x14ac:dyDescent="0.25">
      <c r="A102" s="41"/>
      <c r="B102" s="36" t="s">
        <v>93</v>
      </c>
      <c r="C102" s="37"/>
      <c r="D102" s="38">
        <f>D35+D46+D69+D88+D97+D100</f>
        <v>148421</v>
      </c>
      <c r="E102" s="38">
        <f>E35+E46+E69+E88+E97+E100</f>
        <v>148421</v>
      </c>
      <c r="F102" s="38">
        <f>F35+F46+F69+F88+F97+F100</f>
        <v>148422</v>
      </c>
      <c r="G102" s="38">
        <f>G35+G46+G69+G88+G97+G100</f>
        <v>114972.60999999999</v>
      </c>
      <c r="H102" s="38"/>
      <c r="I102" s="38">
        <f t="shared" ref="I102:N102" si="23">I35+I46+I69+I88+I97+I100</f>
        <v>1711974</v>
      </c>
      <c r="J102" s="38">
        <f t="shared" si="23"/>
        <v>1711974</v>
      </c>
      <c r="K102" s="38">
        <f t="shared" si="23"/>
        <v>1699329</v>
      </c>
      <c r="L102" s="38">
        <f t="shared" si="23"/>
        <v>1732530.9</v>
      </c>
      <c r="M102" s="38">
        <f t="shared" si="23"/>
        <v>1732530.9</v>
      </c>
      <c r="N102" s="38">
        <f t="shared" si="23"/>
        <v>1732742.9</v>
      </c>
      <c r="O102" s="38">
        <f t="shared" ref="O102" si="24">O35+O46+O69+O88+O97+O100</f>
        <v>1732742.9</v>
      </c>
      <c r="P102" s="38"/>
      <c r="Q102" s="38">
        <f>Q35+Q46+Q69+Q88+Q97+Q100</f>
        <v>1651707</v>
      </c>
      <c r="R102" s="38">
        <f>R35+R46+R69+R88+R97+R100</f>
        <v>1651707</v>
      </c>
      <c r="S102" s="38">
        <f>S35+S46+S69+S88+S97+S100</f>
        <v>1651707</v>
      </c>
      <c r="T102" s="38">
        <f>T35+T46+T69+T88+T97+T100</f>
        <v>1651707</v>
      </c>
      <c r="U102" s="38">
        <f>U35+U46+U69+U88+U97+U100</f>
        <v>1919466.82</v>
      </c>
      <c r="V102" s="38"/>
      <c r="W102" s="38">
        <f>W35+W46+W69+W88+W97+W100</f>
        <v>1509278</v>
      </c>
      <c r="X102" s="38">
        <f>X35+X46+X69+X88+X97+X100</f>
        <v>1509278</v>
      </c>
      <c r="Y102" s="38">
        <f>Y35+Y46+Y69+Y88+Y97+Y100</f>
        <v>1567367.4</v>
      </c>
      <c r="Z102" s="38"/>
      <c r="AA102" s="38">
        <f>AA35+AA46+AA69+AA88+AA97+AA100</f>
        <v>1473977</v>
      </c>
      <c r="AB102" s="38">
        <f>AB35+AB46+AB69+AB88+AB97+AB100</f>
        <v>1473977</v>
      </c>
      <c r="AC102" s="76">
        <f>AC35+AC46+AC69+AC88+AC97+AC100</f>
        <v>1528289</v>
      </c>
    </row>
    <row r="103" spans="1:29" s="29" customFormat="1" ht="15.75" x14ac:dyDescent="0.2">
      <c r="A103" s="54"/>
      <c r="B103" s="55" t="s">
        <v>94</v>
      </c>
      <c r="C103" s="39">
        <v>7310</v>
      </c>
      <c r="D103" s="56">
        <f>ROUNDUP(D102*0.0347,0)</f>
        <v>5151</v>
      </c>
      <c r="E103" s="56">
        <f>ROUNDUP(E102*0.0347,0)</f>
        <v>5151</v>
      </c>
      <c r="F103" s="56">
        <v>5150</v>
      </c>
      <c r="G103" s="56">
        <v>3989.49</v>
      </c>
      <c r="H103" s="38"/>
      <c r="I103" s="56">
        <f>ROUNDUP(I102*0.0347,0)</f>
        <v>59406</v>
      </c>
      <c r="J103" s="56">
        <f>ROUNDUP(J102*0.0347,0)</f>
        <v>59406</v>
      </c>
      <c r="K103" s="52">
        <v>72051</v>
      </c>
      <c r="L103" s="52">
        <v>73459</v>
      </c>
      <c r="M103" s="52">
        <v>73459</v>
      </c>
      <c r="N103" s="119">
        <v>73247</v>
      </c>
      <c r="O103" s="119">
        <v>73247</v>
      </c>
      <c r="P103" s="38"/>
      <c r="Q103" s="56">
        <f>ROUNDUP(Q102*0.0347,0)</f>
        <v>57315</v>
      </c>
      <c r="R103" s="56">
        <f>ROUNDUP(R102*0.0347,0)</f>
        <v>57315</v>
      </c>
      <c r="S103" s="56">
        <v>57315</v>
      </c>
      <c r="T103" s="56">
        <v>57315</v>
      </c>
      <c r="U103" s="52">
        <v>98084</v>
      </c>
      <c r="V103" s="38"/>
      <c r="W103" s="56">
        <f>ROUNDUP(W102*0.0347,0)</f>
        <v>52372</v>
      </c>
      <c r="X103" s="56">
        <v>52372</v>
      </c>
      <c r="Y103" s="52">
        <f>ROUNDDOWN(Y102*0.0511,0)</f>
        <v>80092</v>
      </c>
      <c r="Z103" s="38"/>
      <c r="AA103" s="56">
        <f>ROUNDUP(AA102*0.0347,0)-1</f>
        <v>51147</v>
      </c>
      <c r="AB103" s="56">
        <v>51147</v>
      </c>
      <c r="AC103" s="79">
        <f>ROUNDDOWN(AC102*0.0511,0)</f>
        <v>78095</v>
      </c>
    </row>
    <row r="104" spans="1:29" s="29" customFormat="1" ht="15.75" x14ac:dyDescent="0.25">
      <c r="A104" s="41"/>
      <c r="B104" s="36" t="s">
        <v>95</v>
      </c>
      <c r="C104" s="37" t="s">
        <v>96</v>
      </c>
      <c r="D104" s="38">
        <f>D103</f>
        <v>5151</v>
      </c>
      <c r="E104" s="38">
        <f>E103</f>
        <v>5151</v>
      </c>
      <c r="F104" s="38">
        <f>F103</f>
        <v>5150</v>
      </c>
      <c r="G104" s="38">
        <f>G103</f>
        <v>3989.49</v>
      </c>
      <c r="H104" s="38"/>
      <c r="I104" s="38">
        <f t="shared" ref="I104:N104" si="25">I103</f>
        <v>59406</v>
      </c>
      <c r="J104" s="38">
        <f t="shared" si="25"/>
        <v>59406</v>
      </c>
      <c r="K104" s="38">
        <f t="shared" si="25"/>
        <v>72051</v>
      </c>
      <c r="L104" s="38">
        <f t="shared" si="25"/>
        <v>73459</v>
      </c>
      <c r="M104" s="38">
        <f t="shared" si="25"/>
        <v>73459</v>
      </c>
      <c r="N104" s="38">
        <f t="shared" si="25"/>
        <v>73247</v>
      </c>
      <c r="O104" s="38">
        <f t="shared" ref="O104" si="26">O103</f>
        <v>73247</v>
      </c>
      <c r="P104" s="38"/>
      <c r="Q104" s="38">
        <f>Q103</f>
        <v>57315</v>
      </c>
      <c r="R104" s="38">
        <f>R103</f>
        <v>57315</v>
      </c>
      <c r="S104" s="38">
        <f>S103</f>
        <v>57315</v>
      </c>
      <c r="T104" s="38">
        <f>T103</f>
        <v>57315</v>
      </c>
      <c r="U104" s="38">
        <f>U103</f>
        <v>98084</v>
      </c>
      <c r="V104" s="38"/>
      <c r="W104" s="38">
        <f>W103</f>
        <v>52372</v>
      </c>
      <c r="X104" s="38">
        <f>X103</f>
        <v>52372</v>
      </c>
      <c r="Y104" s="38">
        <f>Y103</f>
        <v>80092</v>
      </c>
      <c r="Z104" s="38"/>
      <c r="AA104" s="38">
        <f>AA103</f>
        <v>51147</v>
      </c>
      <c r="AB104" s="38">
        <f>AB103</f>
        <v>51147</v>
      </c>
      <c r="AC104" s="76">
        <f>AC103</f>
        <v>78095</v>
      </c>
    </row>
    <row r="105" spans="1:29" s="29" customFormat="1" ht="16.5" thickBot="1" x14ac:dyDescent="0.3">
      <c r="A105" s="57"/>
      <c r="B105" s="58" t="s">
        <v>97</v>
      </c>
      <c r="C105" s="59"/>
      <c r="D105" s="60">
        <f>SUM(D102+D104)</f>
        <v>153572</v>
      </c>
      <c r="E105" s="60">
        <f>SUM(E102+E104)</f>
        <v>153572</v>
      </c>
      <c r="F105" s="60">
        <f>SUM(F102+F104)</f>
        <v>153572</v>
      </c>
      <c r="G105" s="60">
        <f>SUM(G102+G104)</f>
        <v>118962.09999999999</v>
      </c>
      <c r="H105" s="60"/>
      <c r="I105" s="60">
        <f t="shared" ref="I105:N105" si="27">SUM(I102+I104)</f>
        <v>1771380</v>
      </c>
      <c r="J105" s="60">
        <f t="shared" si="27"/>
        <v>1771380</v>
      </c>
      <c r="K105" s="60">
        <f t="shared" si="27"/>
        <v>1771380</v>
      </c>
      <c r="L105" s="60">
        <f t="shared" si="27"/>
        <v>1805989.9</v>
      </c>
      <c r="M105" s="60">
        <f t="shared" si="27"/>
        <v>1805989.9</v>
      </c>
      <c r="N105" s="60">
        <f t="shared" si="27"/>
        <v>1805989.9</v>
      </c>
      <c r="O105" s="60">
        <f t="shared" ref="O105" si="28">SUM(O102+O104)</f>
        <v>1805989.9</v>
      </c>
      <c r="P105" s="60"/>
      <c r="Q105" s="60">
        <f>SUM(Q102+Q104)</f>
        <v>1709022</v>
      </c>
      <c r="R105" s="60">
        <f>SUM(R102+R104)</f>
        <v>1709022</v>
      </c>
      <c r="S105" s="60">
        <f>SUM(S102+S104)</f>
        <v>1709022</v>
      </c>
      <c r="T105" s="60">
        <f>SUM(T102+T104)</f>
        <v>1709022</v>
      </c>
      <c r="U105" s="60">
        <f>SUM(U102+U104)</f>
        <v>2017550.82</v>
      </c>
      <c r="V105" s="60"/>
      <c r="W105" s="60">
        <f>SUM(W102+W104)</f>
        <v>1561650</v>
      </c>
      <c r="X105" s="60">
        <f>SUM(X102+X104)</f>
        <v>1561650</v>
      </c>
      <c r="Y105" s="60">
        <f>SUM(Y102+Y104)</f>
        <v>1647459.4</v>
      </c>
      <c r="Z105" s="60"/>
      <c r="AA105" s="60">
        <f>SUM(AA102+AA104)</f>
        <v>1525124</v>
      </c>
      <c r="AB105" s="60">
        <f>SUM(AB102+AB104)</f>
        <v>1525124</v>
      </c>
      <c r="AC105" s="80">
        <f>SUM(AC102+AC104)</f>
        <v>1606384</v>
      </c>
    </row>
    <row r="106" spans="1:29" s="29" customFormat="1" ht="10.5" customHeight="1" x14ac:dyDescent="0.2">
      <c r="A106" s="61"/>
      <c r="B106" s="62"/>
      <c r="C106" s="63"/>
      <c r="D106" s="61"/>
      <c r="E106" s="61"/>
      <c r="F106" s="61"/>
      <c r="G106" s="61"/>
      <c r="H106" s="64"/>
      <c r="I106" s="61"/>
      <c r="J106" s="61"/>
      <c r="K106" s="61"/>
      <c r="L106" s="61"/>
      <c r="M106" s="61"/>
      <c r="N106" s="61"/>
      <c r="O106" s="61"/>
      <c r="P106" s="65"/>
      <c r="Q106" s="61"/>
      <c r="R106" s="61"/>
      <c r="S106" s="61"/>
      <c r="T106" s="61"/>
      <c r="U106" s="61"/>
      <c r="V106" s="65"/>
      <c r="W106" s="61"/>
      <c r="X106" s="61"/>
      <c r="Y106" s="61"/>
      <c r="Z106" s="65"/>
      <c r="AA106" s="61"/>
      <c r="AB106" s="61"/>
      <c r="AC106" s="61"/>
    </row>
    <row r="107" spans="1:29" s="29" customFormat="1" ht="15.75" x14ac:dyDescent="0.2">
      <c r="A107" s="61"/>
      <c r="B107" s="62"/>
      <c r="C107" s="63"/>
      <c r="D107" s="61"/>
      <c r="E107" s="66"/>
      <c r="F107" s="66">
        <f>F105-153572</f>
        <v>0</v>
      </c>
      <c r="G107" s="66">
        <f>G105-118962.1</f>
        <v>0</v>
      </c>
      <c r="H107" s="64"/>
      <c r="I107" s="61"/>
      <c r="J107" s="66"/>
      <c r="K107" s="66" t="s">
        <v>122</v>
      </c>
      <c r="L107" s="101">
        <v>34609.9</v>
      </c>
      <c r="M107" s="101">
        <v>34609.9</v>
      </c>
      <c r="N107" s="101"/>
      <c r="O107" s="101">
        <v>34609.9</v>
      </c>
      <c r="P107" s="65"/>
      <c r="Q107" s="61"/>
      <c r="R107" s="66"/>
      <c r="S107" s="66">
        <f>S105-1709022</f>
        <v>0</v>
      </c>
      <c r="T107" s="66">
        <f>1709022-T105</f>
        <v>0</v>
      </c>
      <c r="U107" s="66">
        <f>1709022+308528.82-U105</f>
        <v>0</v>
      </c>
      <c r="V107" s="65"/>
      <c r="W107" s="61"/>
      <c r="X107" s="66"/>
      <c r="Y107" s="66">
        <f>1561650+85809.4-Y105</f>
        <v>0</v>
      </c>
      <c r="Z107" s="65"/>
      <c r="AA107" s="61"/>
      <c r="AB107" s="66">
        <f>AB105-1525124</f>
        <v>0</v>
      </c>
      <c r="AC107" s="66">
        <f>1525124+81260-AC105</f>
        <v>0</v>
      </c>
    </row>
    <row r="108" spans="1:29" s="29" customFormat="1" ht="17.25" x14ac:dyDescent="0.2">
      <c r="A108" s="61"/>
      <c r="B108" s="62"/>
      <c r="C108" s="63"/>
      <c r="D108" s="61"/>
      <c r="E108" s="61"/>
      <c r="F108" s="61"/>
      <c r="G108" s="61"/>
      <c r="H108" s="61"/>
      <c r="I108" s="61"/>
      <c r="J108" s="61"/>
      <c r="K108" s="61" t="s">
        <v>123</v>
      </c>
      <c r="L108" s="102">
        <v>1771380</v>
      </c>
      <c r="M108" s="102">
        <v>1771380</v>
      </c>
      <c r="N108" s="102"/>
      <c r="O108" s="102">
        <v>1771380</v>
      </c>
      <c r="P108" s="61"/>
      <c r="Q108" s="61"/>
      <c r="R108" s="61"/>
      <c r="S108" s="61"/>
      <c r="T108" s="61"/>
      <c r="U108" s="61"/>
      <c r="V108" s="61"/>
      <c r="W108" s="61"/>
      <c r="X108" s="61"/>
      <c r="Y108" s="61"/>
      <c r="Z108" s="61"/>
      <c r="AA108" s="61"/>
      <c r="AB108" s="61"/>
      <c r="AC108" s="61"/>
    </row>
    <row r="109" spans="1:29" s="29" customFormat="1" ht="15.75" x14ac:dyDescent="0.2">
      <c r="A109" s="61"/>
      <c r="B109" s="62"/>
      <c r="C109" s="63"/>
      <c r="D109" s="61"/>
      <c r="E109" s="61"/>
      <c r="F109" s="61"/>
      <c r="G109" s="61"/>
      <c r="H109" s="61"/>
      <c r="I109" s="61"/>
      <c r="J109" s="61"/>
      <c r="K109" s="61" t="s">
        <v>124</v>
      </c>
      <c r="L109" s="101">
        <f>SUM(L107:L108)</f>
        <v>1805989.9</v>
      </c>
      <c r="M109" s="101">
        <f>SUM(M107:M108)</f>
        <v>1805989.9</v>
      </c>
      <c r="N109" s="101"/>
      <c r="O109" s="101">
        <f>SUM(O107:O108)</f>
        <v>1805989.9</v>
      </c>
      <c r="P109" s="61"/>
      <c r="Q109" s="61"/>
      <c r="R109" s="61"/>
      <c r="S109" s="61"/>
      <c r="T109" s="61"/>
      <c r="U109" s="61"/>
      <c r="V109" s="61"/>
      <c r="W109" s="61"/>
      <c r="X109" s="61"/>
      <c r="Y109" s="61"/>
      <c r="Z109" s="61"/>
      <c r="AA109" s="61"/>
      <c r="AB109" s="61"/>
      <c r="AC109" s="61"/>
    </row>
    <row r="110" spans="1:29" s="29" customFormat="1" ht="15.75" x14ac:dyDescent="0.2">
      <c r="A110" s="61"/>
      <c r="C110" s="63"/>
      <c r="D110" s="61"/>
      <c r="E110" s="61"/>
      <c r="F110" s="66"/>
      <c r="G110" s="66"/>
      <c r="H110" s="61"/>
      <c r="I110" s="61"/>
      <c r="J110" s="61"/>
      <c r="K110" s="61"/>
      <c r="L110" s="61"/>
      <c r="M110" s="61"/>
      <c r="N110" s="61"/>
      <c r="O110" s="61"/>
      <c r="P110" s="61"/>
      <c r="Q110" s="61"/>
      <c r="R110" s="61"/>
      <c r="S110" s="61"/>
      <c r="T110" s="61" t="s">
        <v>122</v>
      </c>
      <c r="U110" s="101">
        <v>308528.82</v>
      </c>
      <c r="V110" s="61"/>
      <c r="W110" s="61"/>
      <c r="X110" s="61" t="s">
        <v>169</v>
      </c>
      <c r="Y110" s="101">
        <v>1561650</v>
      </c>
      <c r="Z110" s="61"/>
      <c r="AA110" s="61"/>
      <c r="AB110" s="61" t="s">
        <v>170</v>
      </c>
      <c r="AC110" s="101">
        <v>1525124</v>
      </c>
    </row>
    <row r="111" spans="1:29" s="29" customFormat="1" ht="17.25" x14ac:dyDescent="0.2">
      <c r="A111" s="61"/>
      <c r="C111" s="63"/>
      <c r="D111" s="61"/>
      <c r="E111" s="61"/>
      <c r="F111" s="61"/>
      <c r="G111" s="61"/>
      <c r="H111" s="61"/>
      <c r="I111" s="61"/>
      <c r="J111" s="61"/>
      <c r="K111" s="61"/>
      <c r="L111" s="103">
        <f>L109-L105</f>
        <v>0</v>
      </c>
      <c r="M111" s="103">
        <f>M109-M105</f>
        <v>0</v>
      </c>
      <c r="N111" s="103"/>
      <c r="O111" s="103">
        <f>O109-O105</f>
        <v>0</v>
      </c>
      <c r="P111" s="61"/>
      <c r="Q111" s="61"/>
      <c r="R111" s="61"/>
      <c r="S111" s="61"/>
      <c r="T111" s="61" t="s">
        <v>165</v>
      </c>
      <c r="U111" s="102">
        <v>1709022</v>
      </c>
      <c r="V111" s="61"/>
      <c r="W111" s="61"/>
      <c r="X111" s="61" t="s">
        <v>168</v>
      </c>
      <c r="Y111" s="102">
        <v>85809.4</v>
      </c>
      <c r="Z111" s="61"/>
      <c r="AA111" s="61"/>
      <c r="AB111" s="61" t="s">
        <v>168</v>
      </c>
      <c r="AC111" s="102">
        <v>81260</v>
      </c>
    </row>
    <row r="112" spans="1:29" s="29" customFormat="1" ht="15.75" x14ac:dyDescent="0.2">
      <c r="A112" s="61"/>
      <c r="C112" s="63"/>
      <c r="D112" s="61"/>
      <c r="E112" s="61"/>
      <c r="F112" s="61"/>
      <c r="G112" s="61"/>
      <c r="H112" s="61"/>
      <c r="I112" s="61"/>
      <c r="J112" s="61"/>
      <c r="K112" s="61"/>
      <c r="L112" s="61"/>
      <c r="M112" s="61"/>
      <c r="N112" s="61"/>
      <c r="O112" s="61"/>
      <c r="P112" s="61"/>
      <c r="Q112" s="61"/>
      <c r="R112" s="61"/>
      <c r="S112" s="61"/>
      <c r="T112" s="31" t="s">
        <v>171</v>
      </c>
      <c r="U112" s="148">
        <f>SUM(U110:U111)</f>
        <v>2017550.82</v>
      </c>
      <c r="V112" s="65"/>
      <c r="W112" s="65"/>
      <c r="X112" s="31" t="s">
        <v>172</v>
      </c>
      <c r="Y112" s="149">
        <f>SUM(Y110:Y111)</f>
        <v>1647459.4</v>
      </c>
      <c r="Z112" s="65"/>
      <c r="AA112" s="65"/>
      <c r="AB112" s="31" t="s">
        <v>173</v>
      </c>
      <c r="AC112" s="149">
        <f>SUM(AC110:AC111)</f>
        <v>1606384</v>
      </c>
    </row>
    <row r="113" spans="1:29" s="29" customFormat="1" ht="15.75" x14ac:dyDescent="0.2">
      <c r="A113" s="61"/>
      <c r="C113" s="63"/>
      <c r="D113" s="61"/>
      <c r="E113" s="61"/>
      <c r="F113" s="61"/>
      <c r="G113" s="61"/>
      <c r="H113" s="61"/>
      <c r="I113" s="61"/>
      <c r="J113" s="61"/>
      <c r="K113" s="61"/>
      <c r="L113" s="61"/>
      <c r="M113" s="61"/>
      <c r="N113" s="61"/>
      <c r="O113" s="61"/>
      <c r="P113" s="61"/>
      <c r="Q113" s="61"/>
      <c r="R113" s="61"/>
      <c r="S113" s="61"/>
      <c r="T113" s="61"/>
      <c r="U113" s="103"/>
      <c r="V113" s="61"/>
      <c r="W113" s="61"/>
      <c r="X113" s="61"/>
      <c r="Y113" s="61"/>
      <c r="Z113" s="61"/>
      <c r="AA113" s="61"/>
      <c r="AB113" s="61"/>
      <c r="AC113" s="61"/>
    </row>
    <row r="114" spans="1:29" s="29" customFormat="1" ht="15.75" x14ac:dyDescent="0.2">
      <c r="A114" s="61"/>
      <c r="C114" s="63"/>
      <c r="D114" s="61"/>
      <c r="E114" s="61"/>
      <c r="F114" s="61"/>
      <c r="G114" s="61"/>
      <c r="H114" s="61"/>
      <c r="I114" s="61"/>
      <c r="J114" s="61"/>
      <c r="K114" s="61"/>
      <c r="L114" s="61"/>
      <c r="M114" s="61" t="s">
        <v>136</v>
      </c>
      <c r="N114" s="65"/>
      <c r="O114" s="65"/>
      <c r="P114" s="65"/>
      <c r="Q114" s="65"/>
      <c r="R114" s="65"/>
      <c r="S114" s="65"/>
      <c r="T114" s="65"/>
      <c r="U114" s="103"/>
      <c r="V114" s="61"/>
      <c r="W114" s="61"/>
      <c r="X114" s="61"/>
      <c r="Y114" s="101"/>
      <c r="Z114" s="61"/>
      <c r="AA114" s="61"/>
      <c r="AB114" s="66"/>
      <c r="AC114" s="128"/>
    </row>
    <row r="115" spans="1:29" s="29" customFormat="1" ht="15.75" x14ac:dyDescent="0.2">
      <c r="A115" s="61"/>
      <c r="C115" s="63"/>
      <c r="D115" s="61"/>
      <c r="E115" s="61"/>
      <c r="F115" s="61"/>
      <c r="G115" s="61"/>
      <c r="H115" s="61"/>
      <c r="I115" s="61"/>
      <c r="J115" s="61"/>
      <c r="K115" s="61"/>
      <c r="L115" s="61"/>
      <c r="M115" s="112" t="s">
        <v>137</v>
      </c>
      <c r="N115" s="125"/>
      <c r="O115" s="125"/>
      <c r="P115" s="65"/>
      <c r="Q115" s="65"/>
      <c r="R115" s="65"/>
      <c r="S115" s="65"/>
      <c r="T115" s="65"/>
      <c r="U115" s="61"/>
      <c r="V115" s="61"/>
      <c r="W115" s="61"/>
      <c r="X115" s="61"/>
      <c r="Y115" s="61"/>
      <c r="Z115" s="61"/>
      <c r="AA115" s="61"/>
      <c r="AB115" s="61"/>
      <c r="AC115" s="61"/>
    </row>
    <row r="116" spans="1:29" s="29" customFormat="1" ht="15.75" x14ac:dyDescent="0.2">
      <c r="A116" s="61"/>
      <c r="C116" s="63"/>
      <c r="D116" s="61"/>
      <c r="E116" s="61"/>
      <c r="F116" s="61"/>
      <c r="G116" s="61"/>
      <c r="H116" s="61"/>
      <c r="I116" s="61"/>
      <c r="J116" s="61"/>
      <c r="K116" s="61"/>
      <c r="L116" s="61"/>
      <c r="M116" s="112" t="s">
        <v>138</v>
      </c>
      <c r="N116" s="125"/>
      <c r="O116" s="125"/>
      <c r="P116" s="65"/>
      <c r="Q116" s="65"/>
      <c r="R116" s="65"/>
      <c r="S116" s="65"/>
      <c r="T116" s="65"/>
      <c r="U116" s="61"/>
      <c r="V116" s="61"/>
      <c r="W116" s="61"/>
      <c r="X116" s="61"/>
      <c r="Y116" s="61"/>
      <c r="Z116" s="61"/>
      <c r="AA116" s="61"/>
      <c r="AB116" s="61"/>
      <c r="AC116" s="61"/>
    </row>
    <row r="117" spans="1:29" s="29" customFormat="1" ht="15.75" x14ac:dyDescent="0.2">
      <c r="A117" s="61"/>
      <c r="C117" s="63"/>
      <c r="D117" s="61"/>
      <c r="E117" s="61"/>
      <c r="F117" s="61"/>
      <c r="G117" s="61"/>
      <c r="H117" s="61"/>
      <c r="I117" s="61"/>
      <c r="J117" s="61"/>
      <c r="K117" s="61"/>
      <c r="L117" s="61"/>
      <c r="M117" s="112" t="s">
        <v>143</v>
      </c>
      <c r="N117" s="125"/>
      <c r="O117" s="125"/>
      <c r="P117" s="65"/>
      <c r="Q117" s="65"/>
      <c r="R117" s="65"/>
      <c r="S117" s="65"/>
      <c r="T117" s="65"/>
      <c r="U117" s="61"/>
      <c r="V117" s="61"/>
      <c r="W117" s="61"/>
      <c r="X117" s="61"/>
      <c r="Y117" s="103"/>
      <c r="Z117" s="61"/>
      <c r="AA117" s="61"/>
      <c r="AB117" s="61"/>
      <c r="AC117" s="61"/>
    </row>
    <row r="118" spans="1:29" s="29" customFormat="1" ht="15.75" x14ac:dyDescent="0.25">
      <c r="A118" s="61"/>
      <c r="C118" s="63"/>
      <c r="D118" s="61"/>
      <c r="E118" s="61"/>
      <c r="F118" s="61"/>
      <c r="G118" s="61"/>
      <c r="H118" s="61"/>
      <c r="I118" s="61"/>
      <c r="J118" s="61"/>
      <c r="K118" s="61"/>
      <c r="L118" s="61"/>
      <c r="M118" s="112" t="s">
        <v>139</v>
      </c>
      <c r="N118" s="125"/>
      <c r="O118" s="125"/>
      <c r="P118" s="65"/>
      <c r="Q118" s="65"/>
      <c r="R118" s="65"/>
      <c r="S118" s="65"/>
      <c r="T118" s="65"/>
      <c r="U118" s="61"/>
      <c r="V118" s="61"/>
      <c r="W118" s="61"/>
      <c r="X118" s="61"/>
      <c r="Y118" s="61"/>
      <c r="Z118" s="61"/>
      <c r="AA118" s="61"/>
      <c r="AB118" s="83"/>
      <c r="AC118" s="83"/>
    </row>
    <row r="119" spans="1:29" s="29" customFormat="1" ht="15.75" x14ac:dyDescent="0.2">
      <c r="A119" s="61"/>
      <c r="C119" s="63"/>
      <c r="D119" s="61"/>
      <c r="E119" s="61"/>
      <c r="F119" s="61"/>
      <c r="G119" s="61"/>
      <c r="H119" s="61"/>
      <c r="I119" s="61"/>
      <c r="J119" s="61"/>
      <c r="K119" s="61"/>
      <c r="L119" s="61"/>
      <c r="M119" s="112" t="s">
        <v>140</v>
      </c>
      <c r="N119" s="125"/>
      <c r="O119" s="125"/>
      <c r="P119" s="65"/>
      <c r="Q119" s="65"/>
      <c r="R119" s="65"/>
      <c r="S119" s="65"/>
      <c r="T119" s="65"/>
      <c r="U119" s="61"/>
      <c r="V119" s="61"/>
      <c r="W119" s="61"/>
      <c r="X119" s="61"/>
      <c r="Y119" s="61"/>
      <c r="Z119" s="61"/>
      <c r="AA119" s="61"/>
      <c r="AB119" s="61"/>
      <c r="AC119" s="61"/>
    </row>
    <row r="120" spans="1:29" s="29" customFormat="1" ht="15.75" x14ac:dyDescent="0.2">
      <c r="A120" s="61"/>
      <c r="C120" s="63"/>
      <c r="D120" s="61"/>
      <c r="E120" s="61"/>
      <c r="F120" s="61"/>
      <c r="G120" s="61"/>
      <c r="H120" s="61"/>
      <c r="I120" s="61"/>
      <c r="J120" s="61"/>
      <c r="K120" s="61"/>
      <c r="L120" s="61"/>
      <c r="M120" s="112" t="s">
        <v>141</v>
      </c>
      <c r="N120" s="125"/>
      <c r="O120" s="125"/>
      <c r="P120" s="65"/>
      <c r="Q120" s="65"/>
      <c r="R120" s="65"/>
      <c r="S120" s="65"/>
      <c r="T120" s="65"/>
      <c r="U120" s="61"/>
      <c r="V120" s="61"/>
      <c r="W120" s="61"/>
      <c r="X120" s="61"/>
      <c r="Y120" s="61"/>
      <c r="Z120" s="61"/>
      <c r="AA120" s="61"/>
      <c r="AB120" s="61"/>
      <c r="AC120" s="61"/>
    </row>
    <row r="121" spans="1:29" s="29" customFormat="1" ht="17.25" x14ac:dyDescent="0.2">
      <c r="A121" s="61"/>
      <c r="C121" s="63"/>
      <c r="D121" s="61"/>
      <c r="E121" s="61"/>
      <c r="F121" s="61"/>
      <c r="G121" s="61"/>
      <c r="H121" s="61"/>
      <c r="I121" s="61"/>
      <c r="J121" s="61"/>
      <c r="K121" s="61"/>
      <c r="L121" s="61"/>
      <c r="M121" s="112" t="s">
        <v>142</v>
      </c>
      <c r="N121" s="126"/>
      <c r="O121" s="126"/>
      <c r="P121" s="65"/>
      <c r="Q121" s="65"/>
      <c r="R121" s="65"/>
      <c r="S121" s="65"/>
      <c r="T121" s="65"/>
      <c r="U121" s="61"/>
      <c r="V121" s="61"/>
      <c r="W121" s="61"/>
      <c r="X121" s="61"/>
      <c r="Y121" s="61"/>
      <c r="Z121" s="61"/>
      <c r="AA121" s="61"/>
      <c r="AB121" s="61"/>
      <c r="AC121" s="61"/>
    </row>
    <row r="122" spans="1:29" s="29" customFormat="1" ht="15.75" x14ac:dyDescent="0.2">
      <c r="A122" s="61"/>
      <c r="C122" s="63"/>
      <c r="D122" s="61"/>
      <c r="E122" s="61"/>
      <c r="F122" s="61"/>
      <c r="G122" s="61"/>
      <c r="H122" s="61"/>
      <c r="I122" s="61"/>
      <c r="J122" s="61"/>
      <c r="K122" s="61"/>
      <c r="L122" s="61"/>
      <c r="M122" s="112" t="s">
        <v>144</v>
      </c>
      <c r="N122" s="125"/>
      <c r="O122" s="125"/>
      <c r="P122" s="65"/>
      <c r="Q122" s="65"/>
      <c r="R122" s="65"/>
      <c r="S122" s="65"/>
      <c r="T122" s="65"/>
      <c r="U122" s="61"/>
      <c r="V122" s="61"/>
      <c r="W122" s="61"/>
      <c r="X122" s="61"/>
      <c r="Y122" s="61"/>
      <c r="Z122" s="61"/>
      <c r="AA122" s="61"/>
      <c r="AB122" s="61"/>
      <c r="AC122" s="61"/>
    </row>
    <row r="123" spans="1:29" s="29" customFormat="1" ht="15.75" x14ac:dyDescent="0.2">
      <c r="A123" s="61"/>
      <c r="C123" s="63"/>
      <c r="D123" s="61"/>
      <c r="E123" s="61"/>
      <c r="F123" s="61"/>
      <c r="G123" s="61"/>
      <c r="H123" s="61"/>
      <c r="I123" s="61"/>
      <c r="J123" s="61"/>
      <c r="K123" s="61"/>
      <c r="L123" s="61"/>
      <c r="M123" s="112"/>
      <c r="N123" s="125"/>
      <c r="O123" s="125"/>
      <c r="P123" s="65"/>
      <c r="Q123" s="65"/>
      <c r="R123" s="65"/>
      <c r="S123" s="65"/>
      <c r="T123" s="65"/>
      <c r="U123" s="61"/>
      <c r="V123" s="61"/>
      <c r="W123" s="61"/>
      <c r="X123" s="61"/>
      <c r="Y123" s="61"/>
      <c r="Z123" s="61"/>
      <c r="AA123" s="61"/>
      <c r="AB123" s="61"/>
      <c r="AC123" s="61"/>
    </row>
    <row r="124" spans="1:29" s="29" customFormat="1" ht="15.75" x14ac:dyDescent="0.2">
      <c r="A124" s="61"/>
      <c r="C124" s="63"/>
      <c r="D124" s="61"/>
      <c r="E124" s="61"/>
      <c r="F124" s="61"/>
      <c r="G124" s="61"/>
      <c r="H124" s="61"/>
      <c r="I124" s="61"/>
      <c r="J124" s="61"/>
      <c r="K124" s="61"/>
      <c r="L124" s="61"/>
      <c r="M124" s="112"/>
      <c r="N124" s="125"/>
      <c r="O124" s="125"/>
      <c r="P124" s="65"/>
      <c r="Q124" s="65"/>
      <c r="R124" s="65"/>
      <c r="S124" s="65"/>
      <c r="T124" s="65"/>
      <c r="U124" s="61"/>
      <c r="V124" s="61"/>
      <c r="W124" s="61"/>
      <c r="X124" s="61"/>
      <c r="Y124" s="61"/>
      <c r="Z124" s="61"/>
      <c r="AA124" s="61"/>
      <c r="AB124" s="61"/>
      <c r="AC124" s="61"/>
    </row>
    <row r="125" spans="1:29" s="29" customFormat="1" ht="15.75" x14ac:dyDescent="0.2">
      <c r="A125" s="61"/>
      <c r="C125" s="63"/>
      <c r="D125" s="61"/>
      <c r="E125" s="61"/>
      <c r="F125" s="61"/>
      <c r="G125" s="61"/>
      <c r="H125" s="61"/>
      <c r="I125" s="61"/>
      <c r="J125" s="61"/>
      <c r="K125" s="61"/>
      <c r="L125" s="61"/>
      <c r="M125" s="112"/>
      <c r="N125" s="125"/>
      <c r="O125" s="125"/>
      <c r="P125" s="65"/>
      <c r="Q125" s="65"/>
      <c r="R125" s="65"/>
      <c r="S125" s="65"/>
      <c r="T125" s="65"/>
      <c r="U125" s="61"/>
      <c r="V125" s="61"/>
      <c r="W125" s="61"/>
      <c r="X125" s="61"/>
      <c r="Y125" s="61"/>
      <c r="Z125" s="61"/>
      <c r="AA125" s="61"/>
      <c r="AB125" s="61"/>
      <c r="AC125" s="61"/>
    </row>
    <row r="126" spans="1:29" x14ac:dyDescent="0.2">
      <c r="C126" s="68"/>
      <c r="H126" s="69"/>
      <c r="M126" s="113"/>
      <c r="N126" s="127"/>
      <c r="O126" s="127"/>
      <c r="Q126" s="72"/>
      <c r="R126" s="72"/>
      <c r="S126" s="72"/>
      <c r="T126" s="72"/>
      <c r="V126" s="69"/>
      <c r="Z126" s="69"/>
    </row>
    <row r="127" spans="1:29" x14ac:dyDescent="0.2">
      <c r="C127" s="68"/>
      <c r="H127" s="69"/>
      <c r="N127" s="127"/>
      <c r="O127" s="127"/>
      <c r="Q127" s="72"/>
      <c r="R127" s="72"/>
      <c r="S127" s="72"/>
      <c r="T127" s="72"/>
      <c r="V127" s="69"/>
      <c r="Z127" s="69"/>
    </row>
    <row r="128" spans="1:29" x14ac:dyDescent="0.2">
      <c r="C128" s="68"/>
      <c r="H128" s="69"/>
      <c r="N128" s="127"/>
      <c r="O128" s="127"/>
      <c r="Q128" s="72"/>
      <c r="R128" s="72"/>
      <c r="S128" s="72"/>
      <c r="T128" s="72"/>
      <c r="V128" s="69"/>
      <c r="Z128" s="69"/>
    </row>
    <row r="129" spans="1:29" x14ac:dyDescent="0.2">
      <c r="C129" s="68"/>
      <c r="H129" s="69"/>
      <c r="N129" s="127"/>
      <c r="O129" s="127"/>
      <c r="Q129" s="72"/>
      <c r="R129" s="72"/>
      <c r="S129" s="72"/>
      <c r="T129" s="72"/>
      <c r="V129" s="69"/>
      <c r="Z129" s="69"/>
    </row>
    <row r="130" spans="1:29" x14ac:dyDescent="0.2">
      <c r="C130" s="68"/>
      <c r="H130" s="69"/>
      <c r="N130" s="127"/>
      <c r="O130" s="127"/>
      <c r="Q130" s="72"/>
      <c r="R130" s="72"/>
      <c r="S130" s="72"/>
      <c r="T130" s="72"/>
      <c r="V130" s="69"/>
      <c r="Z130" s="69"/>
    </row>
    <row r="131" spans="1:29" x14ac:dyDescent="0.2">
      <c r="C131" s="68"/>
      <c r="H131" s="69"/>
      <c r="N131" s="127"/>
      <c r="O131" s="127"/>
      <c r="Q131" s="72"/>
      <c r="R131" s="72"/>
      <c r="S131" s="72"/>
      <c r="T131" s="72"/>
      <c r="V131" s="69"/>
      <c r="Z131" s="69"/>
    </row>
    <row r="132" spans="1:29" x14ac:dyDescent="0.2">
      <c r="C132" s="68"/>
      <c r="H132" s="69"/>
      <c r="N132" s="127"/>
      <c r="O132" s="127"/>
      <c r="Q132" s="72"/>
      <c r="R132" s="72"/>
      <c r="S132" s="72"/>
      <c r="T132" s="72"/>
      <c r="V132" s="69"/>
      <c r="Z132" s="69"/>
    </row>
    <row r="133" spans="1:29" x14ac:dyDescent="0.2">
      <c r="C133" s="68"/>
      <c r="H133" s="69"/>
      <c r="N133" s="127"/>
      <c r="O133" s="127"/>
      <c r="Q133" s="72"/>
      <c r="R133" s="72"/>
      <c r="S133" s="72"/>
      <c r="T133" s="72"/>
      <c r="V133" s="69"/>
      <c r="Z133" s="69"/>
    </row>
    <row r="134" spans="1:29" x14ac:dyDescent="0.2">
      <c r="C134" s="68"/>
      <c r="H134" s="69"/>
      <c r="N134" s="127"/>
      <c r="O134" s="127"/>
      <c r="Q134" s="72"/>
      <c r="R134" s="72"/>
      <c r="S134" s="72"/>
      <c r="T134" s="72"/>
      <c r="V134" s="69"/>
      <c r="Z134" s="69"/>
    </row>
    <row r="135" spans="1:29" x14ac:dyDescent="0.2">
      <c r="C135" s="68"/>
      <c r="H135" s="69"/>
      <c r="P135" s="69"/>
      <c r="V135" s="69"/>
      <c r="Z135" s="69"/>
    </row>
    <row r="136" spans="1:29" x14ac:dyDescent="0.2">
      <c r="C136" s="68"/>
      <c r="H136" s="69"/>
      <c r="P136" s="69"/>
      <c r="V136" s="69"/>
      <c r="Z136" s="69"/>
    </row>
    <row r="137" spans="1:29" x14ac:dyDescent="0.2">
      <c r="C137" s="68"/>
      <c r="H137" s="69"/>
      <c r="P137" s="69"/>
      <c r="V137" s="69"/>
      <c r="Z137" s="69"/>
    </row>
    <row r="138" spans="1:29" x14ac:dyDescent="0.2">
      <c r="C138" s="68"/>
      <c r="H138" s="69"/>
      <c r="P138" s="69"/>
      <c r="V138" s="69"/>
      <c r="Z138" s="69"/>
    </row>
    <row r="139" spans="1:29" ht="12.75" x14ac:dyDescent="0.2">
      <c r="A139" s="69"/>
      <c r="B139" s="69"/>
      <c r="C139" s="69"/>
      <c r="H139" s="69"/>
      <c r="P139" s="69"/>
      <c r="V139" s="12"/>
      <c r="W139" s="12"/>
      <c r="X139" s="12"/>
      <c r="Y139" s="12"/>
      <c r="Z139" s="12"/>
      <c r="AA139" s="12"/>
      <c r="AB139" s="12"/>
      <c r="AC139" s="12"/>
    </row>
    <row r="140" spans="1:29" ht="12.75" x14ac:dyDescent="0.2">
      <c r="A140" s="69"/>
      <c r="B140" s="69"/>
      <c r="C140" s="69"/>
      <c r="H140" s="69"/>
      <c r="P140" s="69"/>
      <c r="V140" s="12"/>
      <c r="W140" s="12"/>
      <c r="X140" s="12"/>
      <c r="Y140" s="12"/>
      <c r="Z140" s="12"/>
      <c r="AA140" s="12"/>
      <c r="AB140" s="12"/>
      <c r="AC140" s="12"/>
    </row>
    <row r="141" spans="1:29" ht="12.75" x14ac:dyDescent="0.2">
      <c r="A141" s="69"/>
      <c r="B141" s="69"/>
      <c r="C141" s="69"/>
      <c r="H141" s="69"/>
      <c r="P141" s="69"/>
      <c r="V141" s="12"/>
      <c r="W141" s="12"/>
      <c r="X141" s="12"/>
      <c r="Y141" s="12"/>
      <c r="Z141" s="12"/>
      <c r="AA141" s="12"/>
      <c r="AB141" s="12"/>
      <c r="AC141" s="12"/>
    </row>
    <row r="142" spans="1:29" ht="12.75" x14ac:dyDescent="0.2">
      <c r="A142" s="69"/>
      <c r="B142" s="69"/>
      <c r="C142" s="69"/>
      <c r="H142" s="69"/>
      <c r="P142" s="69"/>
      <c r="V142" s="12"/>
      <c r="W142" s="12"/>
      <c r="X142" s="12"/>
      <c r="Y142" s="12"/>
      <c r="Z142" s="12"/>
      <c r="AA142" s="12"/>
      <c r="AB142" s="12"/>
      <c r="AC142" s="12"/>
    </row>
    <row r="143" spans="1:29" ht="12.75" x14ac:dyDescent="0.2">
      <c r="A143" s="69"/>
      <c r="B143" s="69"/>
      <c r="C143" s="69"/>
      <c r="H143" s="69"/>
      <c r="P143" s="69"/>
      <c r="V143" s="12"/>
      <c r="W143" s="12"/>
      <c r="X143" s="12"/>
      <c r="Y143" s="12"/>
      <c r="Z143" s="12"/>
      <c r="AA143" s="12"/>
      <c r="AB143" s="12"/>
      <c r="AC143" s="12"/>
    </row>
    <row r="144" spans="1:29" ht="12.75" x14ac:dyDescent="0.2">
      <c r="A144" s="69"/>
      <c r="B144" s="69"/>
      <c r="C144" s="69"/>
      <c r="H144" s="69"/>
      <c r="P144" s="69"/>
      <c r="V144" s="12"/>
      <c r="W144" s="12"/>
      <c r="X144" s="12"/>
      <c r="Y144" s="12"/>
      <c r="Z144" s="12"/>
      <c r="AA144" s="12"/>
      <c r="AB144" s="12"/>
      <c r="AC144" s="12"/>
    </row>
    <row r="145" spans="1:29" ht="12.75" x14ac:dyDescent="0.2">
      <c r="A145" s="69"/>
      <c r="B145" s="69"/>
      <c r="C145" s="69"/>
      <c r="H145" s="69"/>
      <c r="P145" s="69"/>
      <c r="V145" s="12"/>
      <c r="W145" s="12"/>
      <c r="X145" s="12"/>
      <c r="Y145" s="12"/>
      <c r="Z145" s="12"/>
      <c r="AA145" s="12"/>
      <c r="AB145" s="12"/>
      <c r="AC145" s="12"/>
    </row>
    <row r="146" spans="1:29" ht="12.75" x14ac:dyDescent="0.2">
      <c r="A146" s="69"/>
      <c r="B146" s="69"/>
      <c r="C146" s="69"/>
      <c r="H146" s="69"/>
      <c r="P146" s="69"/>
      <c r="V146" s="12"/>
      <c r="W146" s="12"/>
      <c r="X146" s="12"/>
      <c r="Y146" s="12"/>
      <c r="Z146" s="12"/>
      <c r="AA146" s="12"/>
      <c r="AB146" s="12"/>
      <c r="AC146" s="12"/>
    </row>
    <row r="147" spans="1:29" ht="12.75" x14ac:dyDescent="0.2">
      <c r="A147" s="69"/>
      <c r="B147" s="69"/>
      <c r="C147" s="69"/>
      <c r="H147" s="69"/>
      <c r="P147" s="69"/>
      <c r="V147" s="12"/>
      <c r="W147" s="12"/>
      <c r="X147" s="12"/>
      <c r="Y147" s="12"/>
      <c r="Z147" s="12"/>
      <c r="AA147" s="12"/>
      <c r="AB147" s="12"/>
      <c r="AC147" s="12"/>
    </row>
    <row r="148" spans="1:29" ht="12.75" x14ac:dyDescent="0.2">
      <c r="A148" s="69"/>
      <c r="B148" s="69"/>
      <c r="C148" s="69"/>
      <c r="H148" s="69"/>
      <c r="P148" s="69"/>
      <c r="V148" s="12"/>
      <c r="W148" s="12"/>
      <c r="X148" s="12"/>
      <c r="Y148" s="12"/>
      <c r="Z148" s="12"/>
      <c r="AA148" s="12"/>
      <c r="AB148" s="12"/>
      <c r="AC148" s="12"/>
    </row>
    <row r="149" spans="1:29" ht="12.75" x14ac:dyDescent="0.2">
      <c r="A149" s="69"/>
      <c r="B149" s="69"/>
      <c r="C149" s="69"/>
      <c r="H149" s="69"/>
      <c r="P149" s="69"/>
      <c r="V149" s="12"/>
      <c r="W149" s="12"/>
      <c r="X149" s="12"/>
      <c r="Y149" s="12"/>
      <c r="Z149" s="12"/>
      <c r="AA149" s="12"/>
      <c r="AB149" s="12"/>
      <c r="AC149" s="12"/>
    </row>
    <row r="150" spans="1:29" x14ac:dyDescent="0.2">
      <c r="C150" s="68"/>
      <c r="H150" s="69"/>
      <c r="P150" s="69"/>
      <c r="V150" s="69"/>
      <c r="Z150" s="69"/>
    </row>
    <row r="151" spans="1:29" x14ac:dyDescent="0.2">
      <c r="C151" s="68"/>
      <c r="H151" s="69"/>
      <c r="P151" s="69"/>
      <c r="V151" s="69"/>
      <c r="Z151" s="69"/>
    </row>
    <row r="152" spans="1:29" x14ac:dyDescent="0.2">
      <c r="C152" s="68"/>
      <c r="H152" s="69"/>
      <c r="P152" s="69"/>
      <c r="V152" s="69"/>
      <c r="Z152" s="69"/>
    </row>
    <row r="153" spans="1:29" x14ac:dyDescent="0.2">
      <c r="C153" s="68"/>
      <c r="H153" s="69"/>
      <c r="P153" s="69"/>
      <c r="V153" s="69"/>
      <c r="Z153" s="69"/>
    </row>
    <row r="154" spans="1:29" x14ac:dyDescent="0.2">
      <c r="C154" s="68"/>
      <c r="H154" s="69"/>
      <c r="P154" s="69"/>
      <c r="V154" s="69"/>
      <c r="Z154" s="69"/>
    </row>
    <row r="155" spans="1:29" x14ac:dyDescent="0.2">
      <c r="C155" s="68"/>
      <c r="H155" s="69"/>
      <c r="P155" s="69"/>
      <c r="V155" s="69"/>
      <c r="Z155" s="69"/>
    </row>
    <row r="156" spans="1:29" x14ac:dyDescent="0.2">
      <c r="C156" s="68"/>
      <c r="H156" s="69"/>
      <c r="P156" s="69"/>
      <c r="V156" s="69"/>
      <c r="Z156" s="69"/>
    </row>
    <row r="157" spans="1:29" x14ac:dyDescent="0.2">
      <c r="C157" s="68"/>
      <c r="H157" s="69"/>
      <c r="P157" s="69"/>
      <c r="V157" s="69"/>
      <c r="Z157" s="69"/>
    </row>
    <row r="158" spans="1:29" x14ac:dyDescent="0.2">
      <c r="C158" s="68"/>
      <c r="H158" s="69"/>
      <c r="P158" s="69"/>
      <c r="V158" s="69"/>
      <c r="Z158" s="69"/>
    </row>
    <row r="159" spans="1:29" x14ac:dyDescent="0.2">
      <c r="C159" s="68"/>
      <c r="H159" s="69"/>
      <c r="P159" s="69"/>
      <c r="V159" s="69"/>
      <c r="Z159" s="69"/>
    </row>
    <row r="160" spans="1:29" x14ac:dyDescent="0.2">
      <c r="C160" s="68"/>
      <c r="H160" s="69"/>
      <c r="P160" s="69"/>
      <c r="V160" s="69"/>
      <c r="Z160" s="69"/>
    </row>
    <row r="161" spans="3:26" x14ac:dyDescent="0.2">
      <c r="C161" s="68"/>
      <c r="H161" s="69"/>
      <c r="P161" s="69"/>
      <c r="V161" s="69"/>
      <c r="Z161" s="69"/>
    </row>
    <row r="162" spans="3:26" x14ac:dyDescent="0.2">
      <c r="C162" s="68"/>
      <c r="H162" s="69"/>
      <c r="P162" s="69"/>
      <c r="V162" s="69"/>
      <c r="Z162" s="69"/>
    </row>
    <row r="163" spans="3:26" x14ac:dyDescent="0.2">
      <c r="C163" s="68"/>
      <c r="H163" s="69"/>
      <c r="P163" s="69"/>
      <c r="V163" s="69"/>
      <c r="Z163" s="69"/>
    </row>
    <row r="164" spans="3:26" x14ac:dyDescent="0.2">
      <c r="C164" s="68"/>
      <c r="H164" s="69"/>
      <c r="P164" s="69"/>
      <c r="V164" s="69"/>
      <c r="Z164" s="69"/>
    </row>
    <row r="165" spans="3:26" x14ac:dyDescent="0.2">
      <c r="C165" s="68"/>
      <c r="H165" s="69"/>
      <c r="P165" s="69"/>
      <c r="V165" s="69"/>
      <c r="Z165" s="69"/>
    </row>
    <row r="166" spans="3:26" x14ac:dyDescent="0.2">
      <c r="C166" s="68"/>
      <c r="H166" s="69"/>
      <c r="P166" s="69"/>
      <c r="V166" s="69"/>
      <c r="Z166" s="69"/>
    </row>
    <row r="167" spans="3:26" x14ac:dyDescent="0.2">
      <c r="C167" s="68"/>
      <c r="H167" s="69"/>
      <c r="P167" s="69"/>
      <c r="V167" s="69"/>
      <c r="Z167" s="69"/>
    </row>
    <row r="168" spans="3:26" x14ac:dyDescent="0.2">
      <c r="C168" s="68"/>
      <c r="H168" s="69"/>
      <c r="P168" s="69"/>
      <c r="V168" s="69"/>
      <c r="Z168" s="69"/>
    </row>
    <row r="169" spans="3:26" x14ac:dyDescent="0.2">
      <c r="C169" s="68"/>
      <c r="H169" s="69"/>
      <c r="P169" s="69"/>
      <c r="V169" s="69"/>
      <c r="Z169" s="69"/>
    </row>
    <row r="170" spans="3:26" x14ac:dyDescent="0.2">
      <c r="C170" s="68"/>
      <c r="H170" s="69"/>
      <c r="P170" s="69"/>
      <c r="V170" s="69"/>
      <c r="Z170" s="69"/>
    </row>
    <row r="171" spans="3:26" x14ac:dyDescent="0.2">
      <c r="C171" s="68"/>
      <c r="H171" s="69"/>
      <c r="P171" s="69"/>
      <c r="V171" s="69"/>
      <c r="Z171" s="69"/>
    </row>
    <row r="172" spans="3:26" x14ac:dyDescent="0.2">
      <c r="C172" s="68"/>
      <c r="H172" s="69"/>
      <c r="P172" s="69"/>
      <c r="V172" s="69"/>
      <c r="Z172" s="69"/>
    </row>
    <row r="173" spans="3:26" x14ac:dyDescent="0.2">
      <c r="C173" s="68"/>
      <c r="H173" s="69"/>
      <c r="P173" s="69"/>
      <c r="V173" s="69"/>
      <c r="Z173" s="69"/>
    </row>
    <row r="174" spans="3:26" x14ac:dyDescent="0.2">
      <c r="C174" s="68"/>
      <c r="H174" s="69"/>
      <c r="P174" s="69"/>
      <c r="V174" s="69"/>
      <c r="Z174" s="69"/>
    </row>
    <row r="175" spans="3:26" x14ac:dyDescent="0.2">
      <c r="C175" s="68"/>
      <c r="H175" s="69"/>
      <c r="P175" s="69"/>
      <c r="V175" s="69"/>
      <c r="Z175" s="69"/>
    </row>
    <row r="176" spans="3:26" x14ac:dyDescent="0.2">
      <c r="C176" s="68"/>
      <c r="H176" s="69"/>
      <c r="P176" s="69"/>
      <c r="V176" s="69"/>
      <c r="Z176" s="69"/>
    </row>
    <row r="177" spans="3:26" x14ac:dyDescent="0.2">
      <c r="C177" s="68"/>
      <c r="H177" s="69"/>
      <c r="P177" s="69"/>
      <c r="V177" s="69"/>
      <c r="Z177" s="69"/>
    </row>
    <row r="178" spans="3:26" x14ac:dyDescent="0.2">
      <c r="C178" s="68"/>
      <c r="H178" s="69"/>
      <c r="P178" s="69"/>
      <c r="V178" s="69"/>
      <c r="Z178" s="69"/>
    </row>
    <row r="179" spans="3:26" x14ac:dyDescent="0.2">
      <c r="C179" s="68"/>
      <c r="H179" s="69"/>
      <c r="P179" s="69"/>
      <c r="V179" s="69"/>
      <c r="Z179" s="69"/>
    </row>
    <row r="180" spans="3:26" x14ac:dyDescent="0.2">
      <c r="C180" s="68"/>
      <c r="H180" s="69"/>
      <c r="P180" s="69"/>
      <c r="V180" s="69"/>
      <c r="Z180" s="69"/>
    </row>
    <row r="181" spans="3:26" x14ac:dyDescent="0.2">
      <c r="C181" s="68"/>
      <c r="H181" s="69"/>
      <c r="P181" s="69"/>
      <c r="V181" s="69"/>
      <c r="Z181" s="69"/>
    </row>
    <row r="182" spans="3:26" x14ac:dyDescent="0.2">
      <c r="C182" s="68"/>
      <c r="H182" s="69"/>
      <c r="P182" s="69"/>
      <c r="V182" s="69"/>
      <c r="Z182" s="69"/>
    </row>
    <row r="183" spans="3:26" x14ac:dyDescent="0.2">
      <c r="H183" s="69"/>
      <c r="P183" s="69"/>
      <c r="V183" s="69"/>
      <c r="Z183" s="69"/>
    </row>
    <row r="184" spans="3:26" x14ac:dyDescent="0.2">
      <c r="H184" s="69"/>
      <c r="P184" s="69"/>
      <c r="V184" s="69"/>
      <c r="Z184" s="69"/>
    </row>
    <row r="185" spans="3:26" x14ac:dyDescent="0.2">
      <c r="H185" s="69"/>
      <c r="P185" s="69"/>
      <c r="V185" s="69"/>
      <c r="Z185" s="69"/>
    </row>
    <row r="186" spans="3:26" x14ac:dyDescent="0.2">
      <c r="H186" s="69"/>
      <c r="P186" s="69"/>
      <c r="V186" s="69"/>
      <c r="Z186" s="69"/>
    </row>
    <row r="187" spans="3:26" x14ac:dyDescent="0.2">
      <c r="H187" s="69"/>
      <c r="P187" s="69"/>
      <c r="V187" s="69"/>
      <c r="Z187" s="69"/>
    </row>
    <row r="188" spans="3:26" x14ac:dyDescent="0.2">
      <c r="H188" s="69"/>
      <c r="P188" s="69"/>
      <c r="V188" s="69"/>
      <c r="Z188" s="69"/>
    </row>
    <row r="189" spans="3:26" x14ac:dyDescent="0.2">
      <c r="H189" s="69"/>
      <c r="P189" s="69"/>
      <c r="V189" s="69"/>
      <c r="Z189" s="69"/>
    </row>
    <row r="190" spans="3:26" x14ac:dyDescent="0.2">
      <c r="H190" s="69"/>
      <c r="P190" s="69"/>
      <c r="V190" s="69"/>
      <c r="Z190" s="69"/>
    </row>
    <row r="191" spans="3:26" x14ac:dyDescent="0.2">
      <c r="H191" s="69"/>
      <c r="P191" s="69"/>
      <c r="V191" s="69"/>
      <c r="Z191" s="69"/>
    </row>
    <row r="192" spans="3:26" x14ac:dyDescent="0.2">
      <c r="H192" s="69"/>
      <c r="P192" s="69"/>
      <c r="V192" s="69"/>
      <c r="Z192" s="69"/>
    </row>
    <row r="193" spans="8:26" x14ac:dyDescent="0.2">
      <c r="H193" s="69"/>
      <c r="P193" s="69"/>
      <c r="V193" s="69"/>
      <c r="Z193" s="69"/>
    </row>
    <row r="194" spans="8:26" x14ac:dyDescent="0.2">
      <c r="H194" s="69"/>
      <c r="P194" s="69"/>
      <c r="V194" s="69"/>
      <c r="Z194" s="69"/>
    </row>
    <row r="195" spans="8:26" x14ac:dyDescent="0.2">
      <c r="H195" s="69"/>
      <c r="P195" s="69"/>
      <c r="V195" s="69"/>
      <c r="Z195" s="69"/>
    </row>
    <row r="196" spans="8:26" x14ac:dyDescent="0.2">
      <c r="H196" s="69"/>
      <c r="P196" s="69"/>
      <c r="V196" s="69"/>
      <c r="Z196" s="69"/>
    </row>
    <row r="197" spans="8:26" x14ac:dyDescent="0.2">
      <c r="H197" s="69"/>
      <c r="P197" s="69"/>
      <c r="V197" s="69"/>
      <c r="Z197" s="69"/>
    </row>
    <row r="198" spans="8:26" x14ac:dyDescent="0.2">
      <c r="H198" s="69"/>
      <c r="P198" s="69"/>
      <c r="V198" s="69"/>
      <c r="Z198" s="69"/>
    </row>
    <row r="199" spans="8:26" x14ac:dyDescent="0.2">
      <c r="H199" s="69"/>
      <c r="P199" s="69"/>
      <c r="V199" s="69"/>
      <c r="Z199" s="69"/>
    </row>
    <row r="200" spans="8:26" x14ac:dyDescent="0.2">
      <c r="H200" s="69"/>
      <c r="P200" s="69"/>
      <c r="V200" s="69"/>
      <c r="Z200" s="69"/>
    </row>
    <row r="201" spans="8:26" x14ac:dyDescent="0.2">
      <c r="H201" s="69"/>
      <c r="P201" s="69"/>
      <c r="V201" s="69"/>
      <c r="Z201" s="69"/>
    </row>
    <row r="202" spans="8:26" x14ac:dyDescent="0.2">
      <c r="H202" s="69"/>
      <c r="P202" s="69"/>
      <c r="V202" s="69"/>
      <c r="Z202" s="69"/>
    </row>
    <row r="203" spans="8:26" x14ac:dyDescent="0.2">
      <c r="H203" s="69"/>
      <c r="P203" s="69"/>
      <c r="V203" s="69"/>
      <c r="Z203" s="69"/>
    </row>
    <row r="204" spans="8:26" x14ac:dyDescent="0.2">
      <c r="H204" s="69"/>
      <c r="P204" s="69"/>
      <c r="V204" s="69"/>
      <c r="Z204" s="69"/>
    </row>
    <row r="205" spans="8:26" x14ac:dyDescent="0.2">
      <c r="H205" s="69"/>
      <c r="P205" s="69"/>
      <c r="V205" s="69"/>
      <c r="Z205" s="69"/>
    </row>
    <row r="206" spans="8:26" x14ac:dyDescent="0.2">
      <c r="H206" s="69"/>
      <c r="P206" s="69"/>
      <c r="V206" s="69"/>
      <c r="Z206" s="69"/>
    </row>
    <row r="207" spans="8:26" x14ac:dyDescent="0.2">
      <c r="H207" s="69"/>
      <c r="P207" s="69"/>
      <c r="V207" s="69"/>
      <c r="Z207" s="69"/>
    </row>
    <row r="208" spans="8:26" x14ac:dyDescent="0.2">
      <c r="H208" s="69"/>
      <c r="P208" s="69"/>
      <c r="V208" s="69"/>
      <c r="Z208" s="69"/>
    </row>
    <row r="209" spans="8:26" x14ac:dyDescent="0.2">
      <c r="H209" s="69"/>
      <c r="P209" s="69"/>
      <c r="V209" s="69"/>
      <c r="Z209" s="69"/>
    </row>
    <row r="210" spans="8:26" x14ac:dyDescent="0.2">
      <c r="H210" s="69"/>
      <c r="P210" s="69"/>
      <c r="V210" s="69"/>
      <c r="Z210" s="69"/>
    </row>
    <row r="211" spans="8:26" x14ac:dyDescent="0.2">
      <c r="H211" s="69"/>
      <c r="P211" s="69"/>
      <c r="V211" s="69"/>
      <c r="Z211" s="69"/>
    </row>
    <row r="212" spans="8:26" x14ac:dyDescent="0.2">
      <c r="H212" s="69"/>
      <c r="P212" s="69"/>
      <c r="V212" s="69"/>
      <c r="Z212" s="69"/>
    </row>
    <row r="213" spans="8:26" x14ac:dyDescent="0.2">
      <c r="H213" s="69"/>
      <c r="P213" s="69"/>
      <c r="V213" s="69"/>
      <c r="Z213" s="69"/>
    </row>
    <row r="214" spans="8:26" x14ac:dyDescent="0.2">
      <c r="H214" s="69"/>
      <c r="P214" s="69"/>
      <c r="V214" s="69"/>
      <c r="Z214" s="69"/>
    </row>
    <row r="215" spans="8:26" x14ac:dyDescent="0.2">
      <c r="H215" s="69"/>
      <c r="P215" s="69"/>
      <c r="V215" s="69"/>
      <c r="Z215" s="69"/>
    </row>
    <row r="216" spans="8:26" x14ac:dyDescent="0.2">
      <c r="H216" s="69"/>
      <c r="P216" s="69"/>
      <c r="V216" s="69"/>
      <c r="Z216" s="69"/>
    </row>
    <row r="217" spans="8:26" x14ac:dyDescent="0.2">
      <c r="H217" s="69"/>
      <c r="P217" s="69"/>
      <c r="V217" s="69"/>
      <c r="Z217" s="69"/>
    </row>
    <row r="218" spans="8:26" x14ac:dyDescent="0.2">
      <c r="H218" s="69"/>
      <c r="P218" s="69"/>
      <c r="V218" s="69"/>
      <c r="Z218" s="69"/>
    </row>
    <row r="219" spans="8:26" x14ac:dyDescent="0.2">
      <c r="H219" s="69"/>
      <c r="P219" s="69"/>
      <c r="V219" s="69"/>
      <c r="Z219" s="69"/>
    </row>
    <row r="220" spans="8:26" x14ac:dyDescent="0.2">
      <c r="H220" s="69"/>
      <c r="P220" s="69"/>
      <c r="V220" s="69"/>
      <c r="Z220" s="69"/>
    </row>
    <row r="221" spans="8:26" x14ac:dyDescent="0.2">
      <c r="H221" s="69"/>
      <c r="P221" s="69"/>
      <c r="V221" s="69"/>
      <c r="Z221" s="69"/>
    </row>
    <row r="222" spans="8:26" x14ac:dyDescent="0.2">
      <c r="H222" s="69"/>
      <c r="P222" s="69"/>
      <c r="V222" s="69"/>
      <c r="Z222" s="69"/>
    </row>
    <row r="223" spans="8:26" x14ac:dyDescent="0.2">
      <c r="H223" s="69"/>
      <c r="P223" s="69"/>
      <c r="V223" s="69"/>
      <c r="Z223" s="69"/>
    </row>
    <row r="224" spans="8:26" x14ac:dyDescent="0.2">
      <c r="H224" s="69"/>
      <c r="P224" s="69"/>
      <c r="V224" s="69"/>
      <c r="Z224" s="69"/>
    </row>
    <row r="225" spans="8:26" x14ac:dyDescent="0.2">
      <c r="H225" s="69"/>
      <c r="P225" s="69"/>
      <c r="V225" s="69"/>
      <c r="Z225" s="69"/>
    </row>
    <row r="226" spans="8:26" x14ac:dyDescent="0.2">
      <c r="H226" s="69"/>
      <c r="P226" s="69"/>
      <c r="V226" s="69"/>
      <c r="Z226" s="69"/>
    </row>
    <row r="227" spans="8:26" x14ac:dyDescent="0.2">
      <c r="H227" s="69"/>
      <c r="P227" s="69"/>
      <c r="V227" s="69"/>
      <c r="Z227" s="69"/>
    </row>
    <row r="228" spans="8:26" x14ac:dyDescent="0.2">
      <c r="H228" s="69"/>
      <c r="P228" s="69"/>
      <c r="V228" s="69"/>
      <c r="Z228" s="69"/>
    </row>
    <row r="229" spans="8:26" x14ac:dyDescent="0.2">
      <c r="H229" s="69"/>
      <c r="P229" s="69"/>
      <c r="V229" s="69"/>
      <c r="Z229" s="69"/>
    </row>
    <row r="230" spans="8:26" x14ac:dyDescent="0.2">
      <c r="H230" s="69"/>
      <c r="P230" s="69"/>
      <c r="V230" s="69"/>
      <c r="Z230" s="69"/>
    </row>
    <row r="231" spans="8:26" x14ac:dyDescent="0.2">
      <c r="H231" s="69"/>
      <c r="P231" s="69"/>
      <c r="V231" s="69"/>
      <c r="Z231" s="69"/>
    </row>
    <row r="232" spans="8:26" x14ac:dyDescent="0.2">
      <c r="H232" s="69"/>
      <c r="P232" s="69"/>
      <c r="V232" s="69"/>
      <c r="Z232" s="69"/>
    </row>
    <row r="233" spans="8:26" x14ac:dyDescent="0.2">
      <c r="H233" s="69"/>
      <c r="P233" s="69"/>
      <c r="V233" s="69"/>
      <c r="Z233" s="69"/>
    </row>
    <row r="234" spans="8:26" x14ac:dyDescent="0.2">
      <c r="H234" s="69"/>
      <c r="P234" s="69"/>
      <c r="V234" s="69"/>
      <c r="Z234" s="69"/>
    </row>
    <row r="235" spans="8:26" x14ac:dyDescent="0.2">
      <c r="H235" s="69"/>
      <c r="P235" s="69"/>
      <c r="V235" s="69"/>
      <c r="Z235" s="69"/>
    </row>
    <row r="236" spans="8:26" x14ac:dyDescent="0.2">
      <c r="H236" s="69"/>
      <c r="P236" s="69"/>
      <c r="V236" s="69"/>
      <c r="Z236" s="69"/>
    </row>
    <row r="237" spans="8:26" x14ac:dyDescent="0.2">
      <c r="H237" s="69"/>
      <c r="P237" s="69"/>
      <c r="V237" s="69"/>
      <c r="Z237" s="69"/>
    </row>
    <row r="238" spans="8:26" x14ac:dyDescent="0.2">
      <c r="H238" s="69"/>
      <c r="P238" s="69"/>
      <c r="V238" s="69"/>
      <c r="Z238" s="69"/>
    </row>
    <row r="239" spans="8:26" x14ac:dyDescent="0.2">
      <c r="H239" s="69"/>
      <c r="P239" s="69"/>
      <c r="V239" s="69"/>
      <c r="Z239" s="69"/>
    </row>
    <row r="240" spans="8:26" x14ac:dyDescent="0.2">
      <c r="H240" s="69"/>
      <c r="P240" s="69"/>
      <c r="V240" s="69"/>
      <c r="Z240" s="69"/>
    </row>
    <row r="241" spans="8:26" x14ac:dyDescent="0.2">
      <c r="H241" s="69"/>
      <c r="P241" s="69"/>
      <c r="V241" s="69"/>
      <c r="Z241" s="69"/>
    </row>
    <row r="242" spans="8:26" x14ac:dyDescent="0.2">
      <c r="H242" s="69"/>
      <c r="P242" s="69"/>
      <c r="V242" s="69"/>
      <c r="Z242" s="69"/>
    </row>
    <row r="243" spans="8:26" x14ac:dyDescent="0.2">
      <c r="H243" s="69"/>
      <c r="P243" s="69"/>
      <c r="V243" s="69"/>
      <c r="Z243" s="69"/>
    </row>
    <row r="244" spans="8:26" x14ac:dyDescent="0.2">
      <c r="H244" s="69"/>
      <c r="P244" s="69"/>
      <c r="V244" s="69"/>
      <c r="Z244" s="69"/>
    </row>
    <row r="245" spans="8:26" x14ac:dyDescent="0.2">
      <c r="H245" s="69"/>
      <c r="P245" s="69"/>
      <c r="V245" s="69"/>
      <c r="Z245" s="69"/>
    </row>
    <row r="246" spans="8:26" x14ac:dyDescent="0.2">
      <c r="H246" s="69"/>
      <c r="P246" s="69"/>
      <c r="V246" s="69"/>
      <c r="Z246" s="69"/>
    </row>
    <row r="247" spans="8:26" x14ac:dyDescent="0.2">
      <c r="H247" s="69"/>
      <c r="P247" s="69"/>
      <c r="V247" s="69"/>
      <c r="Z247" s="69"/>
    </row>
    <row r="248" spans="8:26" x14ac:dyDescent="0.2">
      <c r="H248" s="69"/>
      <c r="P248" s="69"/>
      <c r="V248" s="69"/>
      <c r="Z248" s="69"/>
    </row>
    <row r="249" spans="8:26" x14ac:dyDescent="0.2">
      <c r="H249" s="69"/>
      <c r="P249" s="69"/>
      <c r="V249" s="69"/>
      <c r="Z249" s="69"/>
    </row>
    <row r="250" spans="8:26" x14ac:dyDescent="0.2">
      <c r="H250" s="69"/>
      <c r="P250" s="69"/>
      <c r="V250" s="69"/>
      <c r="Z250" s="69"/>
    </row>
    <row r="251" spans="8:26" x14ac:dyDescent="0.2">
      <c r="H251" s="69"/>
      <c r="P251" s="69"/>
      <c r="V251" s="69"/>
      <c r="Z251" s="69"/>
    </row>
    <row r="252" spans="8:26" x14ac:dyDescent="0.2">
      <c r="H252" s="69"/>
      <c r="P252" s="69"/>
      <c r="V252" s="69"/>
      <c r="Z252" s="69"/>
    </row>
    <row r="253" spans="8:26" x14ac:dyDescent="0.2">
      <c r="H253" s="69"/>
      <c r="P253" s="69"/>
      <c r="V253" s="69"/>
      <c r="Z253" s="69"/>
    </row>
    <row r="254" spans="8:26" x14ac:dyDescent="0.2">
      <c r="H254" s="69"/>
      <c r="P254" s="69"/>
      <c r="V254" s="69"/>
      <c r="Z254" s="69"/>
    </row>
    <row r="255" spans="8:26" x14ac:dyDescent="0.2">
      <c r="H255" s="69"/>
      <c r="P255" s="69"/>
      <c r="V255" s="69"/>
      <c r="Z255" s="69"/>
    </row>
    <row r="256" spans="8:26" x14ac:dyDescent="0.2">
      <c r="H256" s="69"/>
      <c r="P256" s="69"/>
      <c r="V256" s="69"/>
      <c r="Z256" s="69"/>
    </row>
    <row r="257" spans="8:26" x14ac:dyDescent="0.2">
      <c r="H257" s="69"/>
      <c r="P257" s="69"/>
      <c r="V257" s="69"/>
      <c r="Z257" s="69"/>
    </row>
    <row r="258" spans="8:26" x14ac:dyDescent="0.2">
      <c r="H258" s="69"/>
      <c r="P258" s="69"/>
      <c r="V258" s="69"/>
      <c r="Z258" s="69"/>
    </row>
    <row r="259" spans="8:26" x14ac:dyDescent="0.2">
      <c r="H259" s="69"/>
      <c r="P259" s="69"/>
      <c r="V259" s="69"/>
      <c r="Z259" s="69"/>
    </row>
    <row r="260" spans="8:26" x14ac:dyDescent="0.2">
      <c r="H260" s="69"/>
      <c r="P260" s="69"/>
      <c r="V260" s="69"/>
      <c r="Z260" s="69"/>
    </row>
    <row r="261" spans="8:26" x14ac:dyDescent="0.2">
      <c r="H261" s="69"/>
      <c r="P261" s="69"/>
      <c r="V261" s="69"/>
      <c r="Z261" s="69"/>
    </row>
    <row r="262" spans="8:26" x14ac:dyDescent="0.2">
      <c r="H262" s="69"/>
      <c r="P262" s="69"/>
      <c r="V262" s="69"/>
      <c r="Z262" s="69"/>
    </row>
    <row r="263" spans="8:26" x14ac:dyDescent="0.2">
      <c r="H263" s="69"/>
      <c r="P263" s="69"/>
      <c r="V263" s="69"/>
      <c r="Z263" s="69"/>
    </row>
    <row r="264" spans="8:26" x14ac:dyDescent="0.2">
      <c r="H264" s="69"/>
      <c r="P264" s="69"/>
      <c r="V264" s="69"/>
      <c r="Z264" s="69"/>
    </row>
    <row r="265" spans="8:26" x14ac:dyDescent="0.2">
      <c r="H265" s="69"/>
      <c r="P265" s="69"/>
      <c r="V265" s="69"/>
      <c r="Z265" s="69"/>
    </row>
    <row r="266" spans="8:26" x14ac:dyDescent="0.2">
      <c r="H266" s="69"/>
      <c r="P266" s="69"/>
      <c r="V266" s="69"/>
      <c r="Z266" s="69"/>
    </row>
    <row r="267" spans="8:26" x14ac:dyDescent="0.2">
      <c r="H267" s="69"/>
      <c r="P267" s="69"/>
      <c r="V267" s="69"/>
      <c r="Z267" s="69"/>
    </row>
    <row r="268" spans="8:26" x14ac:dyDescent="0.2">
      <c r="H268" s="69"/>
      <c r="P268" s="69"/>
      <c r="V268" s="69"/>
      <c r="Z268" s="69"/>
    </row>
    <row r="269" spans="8:26" x14ac:dyDescent="0.2">
      <c r="H269" s="69"/>
      <c r="P269" s="69"/>
      <c r="V269" s="69"/>
      <c r="Z269" s="69"/>
    </row>
    <row r="270" spans="8:26" x14ac:dyDescent="0.2">
      <c r="H270" s="69"/>
      <c r="P270" s="69"/>
      <c r="V270" s="69"/>
      <c r="Z270" s="69"/>
    </row>
    <row r="271" spans="8:26" x14ac:dyDescent="0.2">
      <c r="H271" s="69"/>
      <c r="P271" s="69"/>
      <c r="V271" s="69"/>
      <c r="Z271" s="69"/>
    </row>
    <row r="272" spans="8:26" x14ac:dyDescent="0.2">
      <c r="H272" s="69"/>
      <c r="P272" s="69"/>
      <c r="V272" s="69"/>
      <c r="Z272" s="69"/>
    </row>
    <row r="273" spans="8:26" x14ac:dyDescent="0.2">
      <c r="H273" s="69"/>
      <c r="P273" s="69"/>
      <c r="V273" s="69"/>
      <c r="Z273" s="69"/>
    </row>
    <row r="274" spans="8:26" x14ac:dyDescent="0.2">
      <c r="H274" s="69"/>
      <c r="P274" s="69"/>
      <c r="V274" s="69"/>
      <c r="Z274" s="69"/>
    </row>
    <row r="275" spans="8:26" x14ac:dyDescent="0.2">
      <c r="H275" s="69"/>
      <c r="P275" s="69"/>
      <c r="V275" s="69"/>
      <c r="Z275" s="69"/>
    </row>
    <row r="276" spans="8:26" x14ac:dyDescent="0.2">
      <c r="H276" s="69"/>
      <c r="P276" s="69"/>
      <c r="V276" s="69"/>
      <c r="Z276" s="69"/>
    </row>
    <row r="277" spans="8:26" x14ac:dyDescent="0.2">
      <c r="H277" s="69"/>
      <c r="P277" s="69"/>
      <c r="V277" s="69"/>
      <c r="Z277" s="69"/>
    </row>
    <row r="278" spans="8:26" x14ac:dyDescent="0.2">
      <c r="H278" s="69"/>
      <c r="P278" s="69"/>
      <c r="V278" s="69"/>
      <c r="Z278" s="69"/>
    </row>
    <row r="279" spans="8:26" x14ac:dyDescent="0.2">
      <c r="H279" s="69"/>
      <c r="P279" s="69"/>
      <c r="V279" s="69"/>
      <c r="Z279" s="69"/>
    </row>
    <row r="280" spans="8:26" x14ac:dyDescent="0.2">
      <c r="H280" s="69"/>
      <c r="P280" s="69"/>
      <c r="V280" s="69"/>
      <c r="Z280" s="69"/>
    </row>
    <row r="281" spans="8:26" x14ac:dyDescent="0.2">
      <c r="H281" s="69"/>
      <c r="P281" s="69"/>
      <c r="V281" s="69"/>
      <c r="Z281" s="69"/>
    </row>
    <row r="282" spans="8:26" x14ac:dyDescent="0.2">
      <c r="H282" s="69"/>
      <c r="P282" s="69"/>
      <c r="V282" s="69"/>
      <c r="Z282" s="69"/>
    </row>
    <row r="283" spans="8:26" x14ac:dyDescent="0.2">
      <c r="H283" s="69"/>
      <c r="P283" s="69"/>
      <c r="V283" s="69"/>
      <c r="Z283" s="69"/>
    </row>
    <row r="284" spans="8:26" x14ac:dyDescent="0.2">
      <c r="H284" s="69"/>
      <c r="P284" s="69"/>
      <c r="V284" s="69"/>
      <c r="Z284" s="69"/>
    </row>
    <row r="285" spans="8:26" x14ac:dyDescent="0.2">
      <c r="H285" s="69"/>
      <c r="P285" s="69"/>
      <c r="V285" s="69"/>
      <c r="Z285" s="69"/>
    </row>
    <row r="286" spans="8:26" x14ac:dyDescent="0.2">
      <c r="H286" s="69"/>
      <c r="P286" s="69"/>
      <c r="V286" s="69"/>
      <c r="Z286" s="69"/>
    </row>
    <row r="287" spans="8:26" x14ac:dyDescent="0.2">
      <c r="H287" s="69"/>
      <c r="P287" s="69"/>
      <c r="V287" s="69"/>
      <c r="Z287" s="69"/>
    </row>
    <row r="288" spans="8:26" x14ac:dyDescent="0.2">
      <c r="H288" s="69"/>
      <c r="P288" s="69"/>
      <c r="V288" s="69"/>
      <c r="Z288" s="69"/>
    </row>
    <row r="289" spans="8:26" x14ac:dyDescent="0.2">
      <c r="H289" s="69"/>
      <c r="P289" s="69"/>
      <c r="V289" s="69"/>
      <c r="Z289" s="69"/>
    </row>
    <row r="290" spans="8:26" x14ac:dyDescent="0.2">
      <c r="H290" s="69"/>
      <c r="P290" s="69"/>
      <c r="V290" s="69"/>
      <c r="Z290" s="69"/>
    </row>
    <row r="291" spans="8:26" x14ac:dyDescent="0.2">
      <c r="H291" s="69"/>
      <c r="P291" s="69"/>
      <c r="V291" s="69"/>
      <c r="Z291" s="69"/>
    </row>
    <row r="292" spans="8:26" x14ac:dyDescent="0.2">
      <c r="H292" s="69"/>
      <c r="P292" s="69"/>
      <c r="V292" s="69"/>
      <c r="Z292" s="69"/>
    </row>
    <row r="293" spans="8:26" x14ac:dyDescent="0.2">
      <c r="H293" s="69"/>
      <c r="P293" s="69"/>
      <c r="V293" s="69"/>
      <c r="Z293" s="69"/>
    </row>
    <row r="294" spans="8:26" x14ac:dyDescent="0.2">
      <c r="H294" s="69"/>
      <c r="P294" s="69"/>
      <c r="V294" s="69"/>
      <c r="Z294" s="69"/>
    </row>
    <row r="295" spans="8:26" x14ac:dyDescent="0.2">
      <c r="H295" s="69"/>
      <c r="P295" s="69"/>
      <c r="V295" s="69"/>
      <c r="Z295" s="69"/>
    </row>
    <row r="296" spans="8:26" x14ac:dyDescent="0.2">
      <c r="H296" s="69"/>
      <c r="P296" s="69"/>
      <c r="V296" s="69"/>
      <c r="Z296" s="69"/>
    </row>
    <row r="297" spans="8:26" x14ac:dyDescent="0.2">
      <c r="H297" s="69"/>
      <c r="P297" s="69"/>
      <c r="V297" s="69"/>
      <c r="Z297" s="69"/>
    </row>
    <row r="298" spans="8:26" x14ac:dyDescent="0.2">
      <c r="H298" s="69"/>
      <c r="P298" s="69"/>
      <c r="V298" s="69"/>
      <c r="Z298" s="69"/>
    </row>
    <row r="299" spans="8:26" x14ac:dyDescent="0.2">
      <c r="H299" s="69"/>
      <c r="P299" s="69"/>
      <c r="V299" s="69"/>
      <c r="Z299" s="69"/>
    </row>
    <row r="300" spans="8:26" x14ac:dyDescent="0.2">
      <c r="H300" s="69"/>
      <c r="P300" s="69"/>
      <c r="V300" s="69"/>
      <c r="Z300" s="69"/>
    </row>
    <row r="301" spans="8:26" x14ac:dyDescent="0.2">
      <c r="H301" s="69"/>
      <c r="P301" s="69"/>
      <c r="V301" s="69"/>
      <c r="Z301" s="69"/>
    </row>
    <row r="302" spans="8:26" x14ac:dyDescent="0.2">
      <c r="H302" s="69"/>
      <c r="P302" s="69"/>
      <c r="V302" s="69"/>
      <c r="Z302" s="69"/>
    </row>
    <row r="303" spans="8:26" x14ac:dyDescent="0.2">
      <c r="H303" s="69"/>
      <c r="P303" s="69"/>
      <c r="V303" s="69"/>
      <c r="Z303" s="69"/>
    </row>
    <row r="304" spans="8:26" x14ac:dyDescent="0.2">
      <c r="H304" s="69"/>
      <c r="P304" s="69"/>
      <c r="V304" s="69"/>
      <c r="Z304" s="69"/>
    </row>
    <row r="305" spans="8:26" x14ac:dyDescent="0.2">
      <c r="H305" s="69"/>
      <c r="P305" s="69"/>
      <c r="V305" s="69"/>
      <c r="Z305" s="69"/>
    </row>
    <row r="306" spans="8:26" x14ac:dyDescent="0.2">
      <c r="H306" s="69"/>
      <c r="P306" s="69"/>
      <c r="V306" s="69"/>
      <c r="Z306" s="69"/>
    </row>
    <row r="307" spans="8:26" x14ac:dyDescent="0.2">
      <c r="H307" s="69"/>
      <c r="P307" s="69"/>
      <c r="V307" s="69"/>
      <c r="Z307" s="69"/>
    </row>
    <row r="308" spans="8:26" x14ac:dyDescent="0.2">
      <c r="H308" s="69"/>
      <c r="P308" s="69"/>
      <c r="V308" s="69"/>
      <c r="Z308" s="69"/>
    </row>
    <row r="309" spans="8:26" x14ac:dyDescent="0.2">
      <c r="H309" s="69"/>
      <c r="P309" s="69"/>
      <c r="V309" s="69"/>
      <c r="Z309" s="69"/>
    </row>
    <row r="310" spans="8:26" x14ac:dyDescent="0.2">
      <c r="H310" s="69"/>
      <c r="P310" s="69"/>
      <c r="V310" s="69"/>
      <c r="Z310" s="69"/>
    </row>
    <row r="311" spans="8:26" x14ac:dyDescent="0.2">
      <c r="H311" s="69"/>
      <c r="P311" s="69"/>
      <c r="V311" s="69"/>
      <c r="Z311" s="69"/>
    </row>
    <row r="312" spans="8:26" x14ac:dyDescent="0.2">
      <c r="H312" s="69"/>
      <c r="P312" s="69"/>
      <c r="V312" s="69"/>
      <c r="Z312" s="69"/>
    </row>
    <row r="313" spans="8:26" x14ac:dyDescent="0.2">
      <c r="H313" s="69"/>
      <c r="P313" s="69"/>
      <c r="V313" s="69"/>
      <c r="Z313" s="69"/>
    </row>
    <row r="314" spans="8:26" x14ac:dyDescent="0.2">
      <c r="H314" s="69"/>
      <c r="P314" s="69"/>
      <c r="V314" s="69"/>
      <c r="Z314" s="69"/>
    </row>
    <row r="315" spans="8:26" x14ac:dyDescent="0.2">
      <c r="H315" s="69"/>
      <c r="P315" s="69"/>
      <c r="V315" s="69"/>
      <c r="Z315" s="69"/>
    </row>
    <row r="316" spans="8:26" x14ac:dyDescent="0.2">
      <c r="H316" s="69"/>
      <c r="P316" s="69"/>
      <c r="V316" s="69"/>
      <c r="Z316" s="69"/>
    </row>
    <row r="317" spans="8:26" x14ac:dyDescent="0.2">
      <c r="H317" s="69"/>
      <c r="P317" s="69"/>
      <c r="V317" s="69"/>
      <c r="Z317" s="69"/>
    </row>
    <row r="318" spans="8:26" x14ac:dyDescent="0.2">
      <c r="H318" s="69"/>
      <c r="P318" s="69"/>
      <c r="V318" s="69"/>
      <c r="Z318" s="69"/>
    </row>
    <row r="319" spans="8:26" x14ac:dyDescent="0.2">
      <c r="H319" s="69"/>
      <c r="P319" s="69"/>
      <c r="V319" s="69"/>
      <c r="Z319" s="69"/>
    </row>
    <row r="320" spans="8:26" x14ac:dyDescent="0.2">
      <c r="H320" s="69"/>
      <c r="P320" s="69"/>
      <c r="V320" s="69"/>
      <c r="Z320" s="69"/>
    </row>
    <row r="321" spans="8:26" x14ac:dyDescent="0.2">
      <c r="H321" s="69"/>
      <c r="P321" s="69"/>
      <c r="V321" s="69"/>
      <c r="Z321" s="69"/>
    </row>
    <row r="322" spans="8:26" x14ac:dyDescent="0.2">
      <c r="H322" s="69"/>
      <c r="P322" s="69"/>
      <c r="V322" s="69"/>
      <c r="Z322" s="69"/>
    </row>
    <row r="323" spans="8:26" x14ac:dyDescent="0.2">
      <c r="H323" s="69"/>
      <c r="P323" s="69"/>
      <c r="V323" s="69"/>
      <c r="Z323" s="69"/>
    </row>
    <row r="324" spans="8:26" x14ac:dyDescent="0.2">
      <c r="H324" s="69"/>
      <c r="P324" s="69"/>
      <c r="V324" s="69"/>
      <c r="Z324" s="69"/>
    </row>
    <row r="325" spans="8:26" x14ac:dyDescent="0.2">
      <c r="H325" s="69"/>
      <c r="P325" s="69"/>
      <c r="V325" s="69"/>
      <c r="Z325" s="69"/>
    </row>
    <row r="326" spans="8:26" x14ac:dyDescent="0.2">
      <c r="H326" s="69"/>
      <c r="P326" s="69"/>
      <c r="V326" s="69"/>
      <c r="Z326" s="69"/>
    </row>
    <row r="327" spans="8:26" x14ac:dyDescent="0.2">
      <c r="H327" s="69"/>
      <c r="P327" s="69"/>
      <c r="V327" s="69"/>
      <c r="Z327" s="69"/>
    </row>
    <row r="328" spans="8:26" x14ac:dyDescent="0.2">
      <c r="H328" s="69"/>
      <c r="P328" s="69"/>
      <c r="V328" s="69"/>
      <c r="Z328" s="69"/>
    </row>
    <row r="329" spans="8:26" x14ac:dyDescent="0.2">
      <c r="H329" s="69"/>
      <c r="P329" s="69"/>
      <c r="V329" s="69"/>
      <c r="Z329" s="69"/>
    </row>
    <row r="330" spans="8:26" x14ac:dyDescent="0.2">
      <c r="H330" s="69"/>
      <c r="P330" s="69"/>
      <c r="V330" s="69"/>
      <c r="Z330" s="69"/>
    </row>
    <row r="331" spans="8:26" x14ac:dyDescent="0.2">
      <c r="H331" s="69"/>
      <c r="P331" s="69"/>
      <c r="V331" s="69"/>
      <c r="Z331" s="69"/>
    </row>
    <row r="332" spans="8:26" x14ac:dyDescent="0.2">
      <c r="H332" s="69"/>
      <c r="P332" s="69"/>
      <c r="V332" s="69"/>
      <c r="Z332" s="69"/>
    </row>
    <row r="333" spans="8:26" x14ac:dyDescent="0.2">
      <c r="H333" s="69"/>
      <c r="P333" s="69"/>
      <c r="V333" s="69"/>
      <c r="Z333" s="69"/>
    </row>
    <row r="334" spans="8:26" x14ac:dyDescent="0.2">
      <c r="H334" s="69"/>
      <c r="P334" s="69"/>
      <c r="V334" s="69"/>
      <c r="Z334" s="69"/>
    </row>
    <row r="335" spans="8:26" x14ac:dyDescent="0.2">
      <c r="H335" s="69"/>
      <c r="P335" s="69"/>
      <c r="V335" s="69"/>
      <c r="Z335" s="69"/>
    </row>
    <row r="336" spans="8:26" x14ac:dyDescent="0.2">
      <c r="H336" s="69"/>
      <c r="P336" s="69"/>
      <c r="V336" s="69"/>
      <c r="Z336" s="69"/>
    </row>
    <row r="337" spans="8:26" x14ac:dyDescent="0.2">
      <c r="H337" s="69"/>
      <c r="P337" s="69"/>
      <c r="V337" s="69"/>
      <c r="Z337" s="69"/>
    </row>
    <row r="338" spans="8:26" x14ac:dyDescent="0.2">
      <c r="H338" s="69"/>
      <c r="P338" s="69"/>
      <c r="V338" s="69"/>
      <c r="Z338" s="69"/>
    </row>
    <row r="339" spans="8:26" x14ac:dyDescent="0.2">
      <c r="H339" s="69"/>
      <c r="P339" s="69"/>
      <c r="V339" s="69"/>
      <c r="Z339" s="69"/>
    </row>
  </sheetData>
  <sheetProtection sheet="1" objects="1" scenarios="1" formatCells="0" formatColumns="0" formatRows="0" insertColumns="0" insertRows="0" insertHyperlinks="0" deleteColumns="0" deleteRows="0"/>
  <autoFilter ref="A7:AC97"/>
  <mergeCells count="54">
    <mergeCell ref="U8:U9"/>
    <mergeCell ref="U19:U20"/>
    <mergeCell ref="Y8:Y9"/>
    <mergeCell ref="Y19:Y20"/>
    <mergeCell ref="AB8:AB9"/>
    <mergeCell ref="AB19:AB20"/>
    <mergeCell ref="D2:AA2"/>
    <mergeCell ref="B4:B5"/>
    <mergeCell ref="B6:C6"/>
    <mergeCell ref="A16:A18"/>
    <mergeCell ref="A8:A9"/>
    <mergeCell ref="C8:C9"/>
    <mergeCell ref="F8:F9"/>
    <mergeCell ref="G8:G9"/>
    <mergeCell ref="K8:K9"/>
    <mergeCell ref="D8:D9"/>
    <mergeCell ref="E8:E9"/>
    <mergeCell ref="R8:R9"/>
    <mergeCell ref="S8:S9"/>
    <mergeCell ref="L8:L9"/>
    <mergeCell ref="W8:W9"/>
    <mergeCell ref="O8:O9"/>
    <mergeCell ref="A80:A82"/>
    <mergeCell ref="B8:B9"/>
    <mergeCell ref="X8:X9"/>
    <mergeCell ref="AA8:AA9"/>
    <mergeCell ref="AC8:AC9"/>
    <mergeCell ref="H8:H11"/>
    <mergeCell ref="P8:P11"/>
    <mergeCell ref="V8:V11"/>
    <mergeCell ref="Z8:Z11"/>
    <mergeCell ref="M8:M9"/>
    <mergeCell ref="N8:N9"/>
    <mergeCell ref="T8:T9"/>
    <mergeCell ref="A12:A14"/>
    <mergeCell ref="A19:A20"/>
    <mergeCell ref="B19:B20"/>
    <mergeCell ref="C19:C20"/>
    <mergeCell ref="A78:A79"/>
    <mergeCell ref="X19:X20"/>
    <mergeCell ref="Z19:Z20"/>
    <mergeCell ref="AA19:AA20"/>
    <mergeCell ref="AC19:AC20"/>
    <mergeCell ref="T19:T20"/>
    <mergeCell ref="S19:S20"/>
    <mergeCell ref="P19:P20"/>
    <mergeCell ref="W19:W20"/>
    <mergeCell ref="V19:V20"/>
    <mergeCell ref="F19:F20"/>
    <mergeCell ref="G19:G20"/>
    <mergeCell ref="H19:H20"/>
    <mergeCell ref="M19:M20"/>
    <mergeCell ref="N19:N20"/>
    <mergeCell ref="O19:O20"/>
  </mergeCells>
  <printOptions horizontalCentered="1"/>
  <pageMargins left="0.25" right="0.25" top="0.65" bottom="0.65" header="0.5" footer="0.5"/>
  <pageSetup paperSize="5" scale="70" fitToHeight="0" orientation="landscape" cellComments="asDisplayed" r:id="rId1"/>
  <headerFooter>
    <oddFooter>&amp;L&amp;"Arial,Regular"Los Angeles Unified School District
Daniel Webster Middle School
Rev. 08.17.18&amp;R&amp;"Arial,Regular"&amp;P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Drop Down 4">
              <controlPr defaultSize="0" autoLine="0" autoPict="0">
                <anchor moveWithCells="1">
                  <from>
                    <xdr:col>3</xdr:col>
                    <xdr:colOff>0</xdr:colOff>
                    <xdr:row>4</xdr:row>
                    <xdr:rowOff>28575</xdr:rowOff>
                  </from>
                  <to>
                    <xdr:col>19</xdr:col>
                    <xdr:colOff>1219200</xdr:colOff>
                    <xdr:row>4</xdr:row>
                    <xdr:rowOff>428625</xdr:rowOff>
                  </to>
                </anchor>
              </controlPr>
            </control>
          </mc:Choice>
        </mc:AlternateContent>
        <mc:AlternateContent xmlns:mc="http://schemas.openxmlformats.org/markup-compatibility/2006">
          <mc:Choice Requires="x14">
            <control shapeId="1030" r:id="rId5" name="Drop Down 6">
              <controlPr defaultSize="0" autoLine="0" autoPict="0">
                <anchor moveWithCells="1">
                  <from>
                    <xdr:col>3</xdr:col>
                    <xdr:colOff>0</xdr:colOff>
                    <xdr:row>4</xdr:row>
                    <xdr:rowOff>28575</xdr:rowOff>
                  </from>
                  <to>
                    <xdr:col>19</xdr:col>
                    <xdr:colOff>1295400</xdr:colOff>
                    <xdr:row>4</xdr:row>
                    <xdr:rowOff>428625</xdr:rowOff>
                  </to>
                </anchor>
              </controlPr>
            </control>
          </mc:Choice>
        </mc:AlternateContent>
        <mc:AlternateContent xmlns:mc="http://schemas.openxmlformats.org/markup-compatibility/2006">
          <mc:Choice Requires="x14">
            <control shapeId="1031" r:id="rId6" name="Drop Down 7">
              <controlPr defaultSize="0" autoLine="0" autoPict="0">
                <anchor moveWithCells="1">
                  <from>
                    <xdr:col>16</xdr:col>
                    <xdr:colOff>0</xdr:colOff>
                    <xdr:row>4</xdr:row>
                    <xdr:rowOff>28575</xdr:rowOff>
                  </from>
                  <to>
                    <xdr:col>19</xdr:col>
                    <xdr:colOff>1362075</xdr:colOff>
                    <xdr:row>4</xdr:row>
                    <xdr:rowOff>457200</xdr:rowOff>
                  </to>
                </anchor>
              </controlPr>
            </control>
          </mc:Choice>
        </mc:AlternateContent>
        <mc:AlternateContent xmlns:mc="http://schemas.openxmlformats.org/markup-compatibility/2006">
          <mc:Choice Requires="x14">
            <control shapeId="1032" r:id="rId7" name="Drop Down 8">
              <controlPr defaultSize="0" autoLine="0" autoPict="0">
                <anchor moveWithCells="1">
                  <from>
                    <xdr:col>16</xdr:col>
                    <xdr:colOff>0</xdr:colOff>
                    <xdr:row>4</xdr:row>
                    <xdr:rowOff>28575</xdr:rowOff>
                  </from>
                  <to>
                    <xdr:col>19</xdr:col>
                    <xdr:colOff>1409700</xdr:colOff>
                    <xdr:row>4</xdr:row>
                    <xdr:rowOff>419100</xdr:rowOff>
                  </to>
                </anchor>
              </controlPr>
            </control>
          </mc:Choice>
        </mc:AlternateContent>
        <mc:AlternateContent xmlns:mc="http://schemas.openxmlformats.org/markup-compatibility/2006">
          <mc:Choice Requires="x14">
            <control shapeId="1033" r:id="rId8" name="Drop Down 9">
              <controlPr defaultSize="0" autoLine="0" autoPict="0">
                <anchor moveWithCells="1">
                  <from>
                    <xdr:col>16</xdr:col>
                    <xdr:colOff>0</xdr:colOff>
                    <xdr:row>4</xdr:row>
                    <xdr:rowOff>28575</xdr:rowOff>
                  </from>
                  <to>
                    <xdr:col>19</xdr:col>
                    <xdr:colOff>1419225</xdr:colOff>
                    <xdr:row>4</xdr:row>
                    <xdr:rowOff>428625</xdr:rowOff>
                  </to>
                </anchor>
              </controlPr>
            </control>
          </mc:Choice>
        </mc:AlternateContent>
        <mc:AlternateContent xmlns:mc="http://schemas.openxmlformats.org/markup-compatibility/2006">
          <mc:Choice Requires="x14">
            <control shapeId="1034" r:id="rId9" name="Drop Down 10">
              <controlPr defaultSize="0" autoLine="0" autoPict="0">
                <anchor moveWithCells="1">
                  <from>
                    <xdr:col>22</xdr:col>
                    <xdr:colOff>0</xdr:colOff>
                    <xdr:row>4</xdr:row>
                    <xdr:rowOff>28575</xdr:rowOff>
                  </from>
                  <to>
                    <xdr:col>23</xdr:col>
                    <xdr:colOff>1400175</xdr:colOff>
                    <xdr:row>4</xdr:row>
                    <xdr:rowOff>428625</xdr:rowOff>
                  </to>
                </anchor>
              </controlPr>
            </control>
          </mc:Choice>
        </mc:AlternateContent>
        <mc:AlternateContent xmlns:mc="http://schemas.openxmlformats.org/markup-compatibility/2006">
          <mc:Choice Requires="x14">
            <control shapeId="1036" r:id="rId10" name="Drop Down 12">
              <controlPr defaultSize="0" autoLine="0" autoPict="0">
                <anchor moveWithCells="1">
                  <from>
                    <xdr:col>26</xdr:col>
                    <xdr:colOff>0</xdr:colOff>
                    <xdr:row>4</xdr:row>
                    <xdr:rowOff>28575</xdr:rowOff>
                  </from>
                  <to>
                    <xdr:col>27</xdr:col>
                    <xdr:colOff>1295400</xdr:colOff>
                    <xdr:row>4</xdr:row>
                    <xdr:rowOff>457200</xdr:rowOff>
                  </to>
                </anchor>
              </controlPr>
            </control>
          </mc:Choice>
        </mc:AlternateContent>
        <mc:AlternateContent xmlns:mc="http://schemas.openxmlformats.org/markup-compatibility/2006">
          <mc:Choice Requires="x14">
            <control shapeId="1037" r:id="rId11" name="Drop Down 13">
              <controlPr defaultSize="0" autoLine="0" autoPict="0">
                <anchor moveWithCells="1">
                  <from>
                    <xdr:col>28</xdr:col>
                    <xdr:colOff>95250</xdr:colOff>
                    <xdr:row>4</xdr:row>
                    <xdr:rowOff>28575</xdr:rowOff>
                  </from>
                  <to>
                    <xdr:col>28</xdr:col>
                    <xdr:colOff>1457325</xdr:colOff>
                    <xdr:row>4</xdr:row>
                    <xdr:rowOff>466725</xdr:rowOff>
                  </to>
                </anchor>
              </controlPr>
            </control>
          </mc:Choice>
        </mc:AlternateContent>
        <mc:AlternateContent xmlns:mc="http://schemas.openxmlformats.org/markup-compatibility/2006">
          <mc:Choice Requires="x14">
            <control shapeId="1039" r:id="rId12" name="Drop Down 15">
              <controlPr defaultSize="0" autoLine="0" autoPict="0">
                <anchor moveWithCells="1">
                  <from>
                    <xdr:col>3</xdr:col>
                    <xdr:colOff>0</xdr:colOff>
                    <xdr:row>4</xdr:row>
                    <xdr:rowOff>28575</xdr:rowOff>
                  </from>
                  <to>
                    <xdr:col>19</xdr:col>
                    <xdr:colOff>1295400</xdr:colOff>
                    <xdr:row>4</xdr:row>
                    <xdr:rowOff>428625</xdr:rowOff>
                  </to>
                </anchor>
              </controlPr>
            </control>
          </mc:Choice>
        </mc:AlternateContent>
        <mc:AlternateContent xmlns:mc="http://schemas.openxmlformats.org/markup-compatibility/2006">
          <mc:Choice Requires="x14">
            <control shapeId="1048" r:id="rId13" name="Drop Down 24">
              <controlPr defaultSize="0" autoLine="0" autoPict="0">
                <anchor moveWithCells="1">
                  <from>
                    <xdr:col>3</xdr:col>
                    <xdr:colOff>0</xdr:colOff>
                    <xdr:row>4</xdr:row>
                    <xdr:rowOff>28575</xdr:rowOff>
                  </from>
                  <to>
                    <xdr:col>19</xdr:col>
                    <xdr:colOff>1295400</xdr:colOff>
                    <xdr:row>4</xdr:row>
                    <xdr:rowOff>428625</xdr:rowOff>
                  </to>
                </anchor>
              </controlPr>
            </control>
          </mc:Choice>
        </mc:AlternateContent>
        <mc:AlternateContent xmlns:mc="http://schemas.openxmlformats.org/markup-compatibility/2006">
          <mc:Choice Requires="x14">
            <control shapeId="1049" r:id="rId14" name="Drop Down 25">
              <controlPr defaultSize="0" autoLine="0" autoPict="0">
                <anchor moveWithCells="1">
                  <from>
                    <xdr:col>3</xdr:col>
                    <xdr:colOff>0</xdr:colOff>
                    <xdr:row>4</xdr:row>
                    <xdr:rowOff>28575</xdr:rowOff>
                  </from>
                  <to>
                    <xdr:col>19</xdr:col>
                    <xdr:colOff>1295400</xdr:colOff>
                    <xdr:row>4</xdr:row>
                    <xdr:rowOff>428625</xdr:rowOff>
                  </to>
                </anchor>
              </controlPr>
            </control>
          </mc:Choice>
        </mc:AlternateContent>
        <mc:AlternateContent xmlns:mc="http://schemas.openxmlformats.org/markup-compatibility/2006">
          <mc:Choice Requires="x14">
            <control shapeId="1050" r:id="rId15" name="Drop Down 26">
              <controlPr defaultSize="0" autoLine="0" autoPict="0">
                <anchor moveWithCells="1">
                  <from>
                    <xdr:col>19</xdr:col>
                    <xdr:colOff>19050</xdr:colOff>
                    <xdr:row>4</xdr:row>
                    <xdr:rowOff>28575</xdr:rowOff>
                  </from>
                  <to>
                    <xdr:col>19</xdr:col>
                    <xdr:colOff>1428750</xdr:colOff>
                    <xdr:row>4</xdr:row>
                    <xdr:rowOff>419100</xdr:rowOff>
                  </to>
                </anchor>
              </controlPr>
            </control>
          </mc:Choice>
        </mc:AlternateContent>
        <mc:AlternateContent xmlns:mc="http://schemas.openxmlformats.org/markup-compatibility/2006">
          <mc:Choice Requires="x14">
            <control shapeId="1051" r:id="rId16" name="Drop Down 27">
              <controlPr defaultSize="0" autoLine="0" autoPict="0">
                <anchor moveWithCells="1">
                  <from>
                    <xdr:col>19</xdr:col>
                    <xdr:colOff>95250</xdr:colOff>
                    <xdr:row>4</xdr:row>
                    <xdr:rowOff>28575</xdr:rowOff>
                  </from>
                  <to>
                    <xdr:col>19</xdr:col>
                    <xdr:colOff>1514475</xdr:colOff>
                    <xdr:row>4</xdr:row>
                    <xdr:rowOff>428625</xdr:rowOff>
                  </to>
                </anchor>
              </controlPr>
            </control>
          </mc:Choice>
        </mc:AlternateContent>
        <mc:AlternateContent xmlns:mc="http://schemas.openxmlformats.org/markup-compatibility/2006">
          <mc:Choice Requires="x14">
            <control shapeId="1052" r:id="rId17" name="Drop Down 28">
              <controlPr defaultSize="0" autoLine="0" autoPict="0">
                <anchor moveWithCells="1">
                  <from>
                    <xdr:col>3</xdr:col>
                    <xdr:colOff>0</xdr:colOff>
                    <xdr:row>4</xdr:row>
                    <xdr:rowOff>28575</xdr:rowOff>
                  </from>
                  <to>
                    <xdr:col>19</xdr:col>
                    <xdr:colOff>1295400</xdr:colOff>
                    <xdr:row>4</xdr:row>
                    <xdr:rowOff>428625</xdr:rowOff>
                  </to>
                </anchor>
              </controlPr>
            </control>
          </mc:Choice>
        </mc:AlternateContent>
        <mc:AlternateContent xmlns:mc="http://schemas.openxmlformats.org/markup-compatibility/2006">
          <mc:Choice Requires="x14">
            <control shapeId="1053" r:id="rId18" name="Drop Down 29">
              <controlPr defaultSize="0" autoLine="0" autoPict="0">
                <anchor moveWithCells="1">
                  <from>
                    <xdr:col>20</xdr:col>
                    <xdr:colOff>19050</xdr:colOff>
                    <xdr:row>4</xdr:row>
                    <xdr:rowOff>28575</xdr:rowOff>
                  </from>
                  <to>
                    <xdr:col>20</xdr:col>
                    <xdr:colOff>1428750</xdr:colOff>
                    <xdr:row>4</xdr:row>
                    <xdr:rowOff>419100</xdr:rowOff>
                  </to>
                </anchor>
              </controlPr>
            </control>
          </mc:Choice>
        </mc:AlternateContent>
        <mc:AlternateContent xmlns:mc="http://schemas.openxmlformats.org/markup-compatibility/2006">
          <mc:Choice Requires="x14">
            <control shapeId="1054" r:id="rId19" name="Drop Down 30">
              <controlPr defaultSize="0" autoLine="0" autoPict="0">
                <anchor moveWithCells="1">
                  <from>
                    <xdr:col>20</xdr:col>
                    <xdr:colOff>95250</xdr:colOff>
                    <xdr:row>4</xdr:row>
                    <xdr:rowOff>28575</xdr:rowOff>
                  </from>
                  <to>
                    <xdr:col>20</xdr:col>
                    <xdr:colOff>1514475</xdr:colOff>
                    <xdr:row>4</xdr:row>
                    <xdr:rowOff>428625</xdr:rowOff>
                  </to>
                </anchor>
              </controlPr>
            </control>
          </mc:Choice>
        </mc:AlternateContent>
        <mc:AlternateContent xmlns:mc="http://schemas.openxmlformats.org/markup-compatibility/2006">
          <mc:Choice Requires="x14">
            <control shapeId="1055" r:id="rId20" name="Drop Down 31">
              <controlPr defaultSize="0" autoLine="0" autoPict="0">
                <anchor moveWithCells="1">
                  <from>
                    <xdr:col>27</xdr:col>
                    <xdr:colOff>95250</xdr:colOff>
                    <xdr:row>4</xdr:row>
                    <xdr:rowOff>28575</xdr:rowOff>
                  </from>
                  <to>
                    <xdr:col>27</xdr:col>
                    <xdr:colOff>1457325</xdr:colOff>
                    <xdr:row>4</xdr:row>
                    <xdr:rowOff>466725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4"/>
  <sheetViews>
    <sheetView workbookViewId="0">
      <selection activeCell="A5" sqref="A5"/>
    </sheetView>
  </sheetViews>
  <sheetFormatPr defaultColWidth="9" defaultRowHeight="12.75" x14ac:dyDescent="0.2"/>
  <cols>
    <col min="1" max="1" width="56.5703125" customWidth="1"/>
  </cols>
  <sheetData>
    <row r="1" spans="1:1" ht="15.75" x14ac:dyDescent="0.25">
      <c r="A1" s="1"/>
    </row>
    <row r="2" spans="1:1" ht="21" x14ac:dyDescent="0.35">
      <c r="A2" s="2" t="s">
        <v>98</v>
      </c>
    </row>
    <row r="3" spans="1:1" ht="21" x14ac:dyDescent="0.35">
      <c r="A3" s="2" t="s">
        <v>99</v>
      </c>
    </row>
    <row r="4" spans="1:1" ht="21" x14ac:dyDescent="0.35">
      <c r="A4" s="2" t="s">
        <v>100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Form 2a-Planning</vt:lpstr>
      <vt:lpstr>Webster MS</vt:lpstr>
      <vt:lpstr>DATA Fields</vt:lpstr>
      <vt:lpstr>'Form 2a-Planning'!Print_Area</vt:lpstr>
      <vt:lpstr>'Webster MS'!Print_Area</vt:lpstr>
      <vt:lpstr>'Form 2a-Planning'!Print_Titles</vt:lpstr>
      <vt:lpstr>'Webster MS'!Print_Titles</vt:lpstr>
    </vt:vector>
  </TitlesOfParts>
  <Company>California Department of Education</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Form-02: SIG Cohort 4 Budget Documents - Title I Part A (CA Dept of Education)</dc:title>
  <dc:subject>Budget documents for the School Improvement Grant (SIG) Cohort 4.</dc:subject>
  <dc:creator>School Turnaround Office</dc:creator>
  <cp:lastModifiedBy>Windows User</cp:lastModifiedBy>
  <cp:revision/>
  <cp:lastPrinted>2018-08-28T16:16:14Z</cp:lastPrinted>
  <dcterms:created xsi:type="dcterms:W3CDTF">2011-09-27T21:58:19Z</dcterms:created>
  <dcterms:modified xsi:type="dcterms:W3CDTF">2018-09-06T21:50:35Z</dcterms:modified>
</cp:coreProperties>
</file>